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T&amp;ĐBCL\4. VB phòng KT&amp;ĐBCL\54. Báo cáo 3 công khai\Báo cáo\"/>
    </mc:Choice>
  </mc:AlternateContent>
  <xr:revisionPtr revIDLastSave="0" documentId="13_ncr:1_{A75089E9-8ADF-4702-8C01-666BF952BE73}" xr6:coauthVersionLast="47" xr6:coauthVersionMax="47" xr10:uidLastSave="{00000000-0000-0000-0000-000000000000}"/>
  <bookViews>
    <workbookView xWindow="-110" yWindow="-110" windowWidth="19420" windowHeight="10420" tabRatio="789" firstSheet="37" activeTab="37" xr2:uid="{00000000-000D-0000-FFFF-FFFF00000000}"/>
  </bookViews>
  <sheets>
    <sheet name="foxz" sheetId="10" state="veryHidden" r:id="rId1"/>
    <sheet name="SGV" sheetId="18" state="hidden" r:id="rId2"/>
    <sheet name="SGV_2" sheetId="19" state="veryHidden" r:id="rId3"/>
    <sheet name="SGV_3" sheetId="20" state="veryHidden" r:id="rId4"/>
    <sheet name="SGV_4" sheetId="21" state="veryHidden" r:id="rId5"/>
    <sheet name="SGV_5" sheetId="22" state="veryHidden" r:id="rId6"/>
    <sheet name="SGV_6" sheetId="23" state="veryHidden" r:id="rId7"/>
    <sheet name="SGV_7" sheetId="24" state="veryHidden" r:id="rId8"/>
    <sheet name="SGV_8" sheetId="25" state="veryHidden" r:id="rId9"/>
    <sheet name="SGV_9" sheetId="26" state="veryHidden" r:id="rId10"/>
    <sheet name="SGV_10" sheetId="27" state="veryHidden" r:id="rId11"/>
    <sheet name="SGV_11" sheetId="28" state="veryHidden" r:id="rId12"/>
    <sheet name="SGV_12" sheetId="29" state="veryHidden" r:id="rId13"/>
    <sheet name="SGV_13" sheetId="30" state="veryHidden" r:id="rId14"/>
    <sheet name="SGV_14" sheetId="31" state="veryHidden" r:id="rId15"/>
    <sheet name="SGV_15" sheetId="32" state="veryHidden" r:id="rId16"/>
    <sheet name="SGV_16" sheetId="33" state="veryHidden" r:id="rId17"/>
    <sheet name="SGV_17" sheetId="34" state="veryHidden" r:id="rId18"/>
    <sheet name="SGV_18" sheetId="35" state="veryHidden" r:id="rId19"/>
    <sheet name="SGV_19" sheetId="36" state="veryHidden" r:id="rId20"/>
    <sheet name="SGV_20" sheetId="37" state="veryHidden" r:id="rId21"/>
    <sheet name="SGV_21" sheetId="38" state="veryHidden" r:id="rId22"/>
    <sheet name="SGV_22" sheetId="39" state="veryHidden" r:id="rId23"/>
    <sheet name="SGV_23" sheetId="40" state="veryHidden" r:id="rId24"/>
    <sheet name="SGV_24" sheetId="41" state="veryHidden" r:id="rId25"/>
    <sheet name="SGV_25" sheetId="42" state="veryHidden" r:id="rId26"/>
    <sheet name="SGV_26" sheetId="43" state="veryHidden" r:id="rId27"/>
    <sheet name="SGV_27" sheetId="45" state="veryHidden" r:id="rId28"/>
    <sheet name="SGV_28" sheetId="46" state="veryHidden" r:id="rId29"/>
    <sheet name="SGV_29" sheetId="47" state="veryHidden" r:id="rId30"/>
    <sheet name="Bản kèm QĐ" sheetId="13" state="hidden" r:id="rId31"/>
    <sheet name="SGV_30" sheetId="48" state="veryHidden" r:id="rId32"/>
    <sheet name="SGV_31" sheetId="49" state="veryHidden" r:id="rId33"/>
    <sheet name="SGV_32" sheetId="50" state="veryHidden" r:id="rId34"/>
    <sheet name="SGV_33" sheetId="51" state="veryHidden" r:id="rId35"/>
    <sheet name="SGV_34" sheetId="52" state="veryHidden" r:id="rId36"/>
    <sheet name="THỰC HIỆN-KH 2024" sheetId="16" state="hidden" r:id="rId37"/>
    <sheet name="CÔNG KHAI -BGD" sheetId="53" r:id="rId38"/>
    <sheet name="Sheet1" sheetId="44" state="hidden" r:id="rId39"/>
    <sheet name="TỔNG_ KH 2024 điều chỉnh" sheetId="15" state="hidden" r:id="rId40"/>
    <sheet name="Tong KH 2024 " sheetId="11" state="hidden" r:id="rId41"/>
    <sheet name="Lương 2024" sheetId="12" state="hidden" r:id="rId42"/>
    <sheet name="Lương 2024 (đc)" sheetId="17" state="hidden" r:id="rId43"/>
    <sheet name="PHẦN MỀM" sheetId="3" state="hidden" r:id="rId44"/>
    <sheet name="DỰ ÁN ĐANG TRIỂN KHAI" sheetId="4" state="hidden" r:id="rId45"/>
    <sheet name="OK - M4.1 ĐT" sheetId="5" state="hidden" r:id="rId46"/>
    <sheet name="DỰ ÁN MỚI" sheetId="7" state="hidden" r:id="rId47"/>
    <sheet name="MUA SẮM" sheetId="8" state="hidden" r:id="rId48"/>
    <sheet name="DỰ ÁN ĐÃ HOÀN THÀNH" sheetId="9" state="hidden" r:id="rId49"/>
    <sheet name="Sheet2" sheetId="14" state="hidden" r:id="rId50"/>
  </sheets>
  <externalReferences>
    <externalReference r:id="rId51"/>
  </externalReferences>
  <definedNames>
    <definedName name="_xlnm._FilterDatabase" localSheetId="45" hidden="1">'OK - M4.1 ĐT'!$A$5:$L$41</definedName>
    <definedName name="_xlnm.Print_Area" localSheetId="39">'TỔNG_ KH 2024 điều chỉnh'!$A$1:$H$39</definedName>
    <definedName name="_xlnm.Print_Titles" localSheetId="30">'Bản kèm QĐ'!$6:$6</definedName>
    <definedName name="_xlnm.Print_Titles" localSheetId="37">'CÔNG KHAI -BGD'!$5:$5</definedName>
    <definedName name="_xlnm.Print_Titles" localSheetId="48">'DỰ ÁN ĐÃ HOÀN THÀNH'!$2:$2</definedName>
    <definedName name="_xlnm.Print_Titles" localSheetId="44">'DỰ ÁN ĐANG TRIỂN KHAI'!$3:$3</definedName>
    <definedName name="_xlnm.Print_Titles" localSheetId="41">'Lương 2024'!$5:$6</definedName>
    <definedName name="_xlnm.Print_Titles" localSheetId="42">'Lương 2024 (đc)'!$5:$6</definedName>
    <definedName name="_xlnm.Print_Titles" localSheetId="36">'THỰC HIỆN-KH 2024'!$4:$4</definedName>
    <definedName name="_xlnm.Print_Titles" localSheetId="40">'Tong KH 2024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3" l="1"/>
  <c r="H6" i="53" s="1"/>
  <c r="D11" i="53"/>
  <c r="C11" i="53"/>
  <c r="C6" i="53" l="1"/>
  <c r="D6" i="53"/>
  <c r="J123" i="16"/>
  <c r="J124" i="16"/>
  <c r="J125" i="16"/>
  <c r="J127" i="16"/>
  <c r="J128" i="16"/>
  <c r="J129" i="16"/>
  <c r="J130" i="16"/>
  <c r="J131" i="16"/>
  <c r="J132" i="16"/>
  <c r="J133" i="16"/>
  <c r="I111" i="16"/>
  <c r="I138" i="16" l="1"/>
  <c r="I38" i="16"/>
  <c r="I96" i="16" s="1"/>
  <c r="J96" i="16" s="1"/>
  <c r="J31" i="16"/>
  <c r="I34" i="16" l="1"/>
  <c r="J38" i="16"/>
  <c r="J111" i="16"/>
  <c r="J12" i="16" l="1"/>
  <c r="J24" i="16"/>
  <c r="K24" i="16" s="1"/>
  <c r="J25" i="16"/>
  <c r="K25" i="16" s="1"/>
  <c r="J27" i="16"/>
  <c r="J28" i="16"/>
  <c r="K28" i="16" s="1"/>
  <c r="J29" i="16"/>
  <c r="K29" i="16" s="1"/>
  <c r="J30" i="16"/>
  <c r="K30" i="16" s="1"/>
  <c r="J32" i="16"/>
  <c r="J35" i="16"/>
  <c r="K35" i="16" s="1"/>
  <c r="J36" i="16"/>
  <c r="K36" i="16" s="1"/>
  <c r="J37" i="16"/>
  <c r="K37" i="16" s="1"/>
  <c r="J47" i="16"/>
  <c r="J48" i="16"/>
  <c r="J50" i="16"/>
  <c r="K50" i="16" s="1"/>
  <c r="J51" i="16"/>
  <c r="K51" i="16" s="1"/>
  <c r="J52" i="16"/>
  <c r="K52" i="16" s="1"/>
  <c r="J53" i="16"/>
  <c r="J54" i="16"/>
  <c r="K54" i="16" s="1"/>
  <c r="J55" i="16"/>
  <c r="K55" i="16" s="1"/>
  <c r="J56" i="16"/>
  <c r="K56" i="16" s="1"/>
  <c r="J58" i="16"/>
  <c r="K58" i="16" s="1"/>
  <c r="J59" i="16"/>
  <c r="K59" i="16" s="1"/>
  <c r="J60" i="16"/>
  <c r="K60" i="16" s="1"/>
  <c r="J61" i="16"/>
  <c r="K61" i="16" s="1"/>
  <c r="J64" i="16"/>
  <c r="K64" i="16" s="1"/>
  <c r="J67" i="16"/>
  <c r="K67" i="16" s="1"/>
  <c r="J68" i="16"/>
  <c r="K68" i="16" s="1"/>
  <c r="J69" i="16"/>
  <c r="K69" i="16" s="1"/>
  <c r="J70" i="16"/>
  <c r="K70" i="16" s="1"/>
  <c r="J72" i="16"/>
  <c r="J73" i="16"/>
  <c r="K73" i="16" s="1"/>
  <c r="J74" i="16"/>
  <c r="K74" i="16" s="1"/>
  <c r="J75" i="16"/>
  <c r="K75" i="16" s="1"/>
  <c r="J76" i="16"/>
  <c r="K76" i="16" s="1"/>
  <c r="J77" i="16"/>
  <c r="K77" i="16" s="1"/>
  <c r="J78" i="16"/>
  <c r="K78" i="16" s="1"/>
  <c r="J79" i="16"/>
  <c r="K79" i="16" s="1"/>
  <c r="J80" i="16"/>
  <c r="K80" i="16" s="1"/>
  <c r="J81" i="16"/>
  <c r="K81" i="16" s="1"/>
  <c r="J83" i="16"/>
  <c r="K83" i="16" s="1"/>
  <c r="J84" i="16"/>
  <c r="K84" i="16" s="1"/>
  <c r="J85" i="16"/>
  <c r="K85" i="16" s="1"/>
  <c r="J86" i="16"/>
  <c r="J87" i="16"/>
  <c r="K87" i="16" s="1"/>
  <c r="J89" i="16"/>
  <c r="K89" i="16" s="1"/>
  <c r="J90" i="16"/>
  <c r="J92" i="16"/>
  <c r="K92" i="16" s="1"/>
  <c r="J93" i="16"/>
  <c r="K93" i="16" s="1"/>
  <c r="J95" i="16"/>
  <c r="K95" i="16" s="1"/>
  <c r="J98" i="16"/>
  <c r="K98" i="16" s="1"/>
  <c r="J105" i="16"/>
  <c r="K105" i="16" s="1"/>
  <c r="J106" i="16"/>
  <c r="K106" i="16" s="1"/>
  <c r="J107" i="16"/>
  <c r="K107" i="16" s="1"/>
  <c r="J108" i="16"/>
  <c r="K108" i="16" s="1"/>
  <c r="J112" i="16"/>
  <c r="J113" i="16"/>
  <c r="J114" i="16"/>
  <c r="K123" i="16"/>
  <c r="K124" i="16"/>
  <c r="K125" i="16"/>
  <c r="K127" i="16"/>
  <c r="K128" i="16"/>
  <c r="K129" i="16"/>
  <c r="K130" i="16"/>
  <c r="K131" i="16"/>
  <c r="K132" i="16"/>
  <c r="K133" i="16"/>
  <c r="J135" i="16"/>
  <c r="K135" i="16" s="1"/>
  <c r="J136" i="16"/>
  <c r="K136" i="16" s="1"/>
  <c r="J139" i="16"/>
  <c r="J140" i="16"/>
  <c r="J141" i="16"/>
  <c r="J142" i="16"/>
  <c r="K90" i="16" l="1"/>
  <c r="I134" i="16"/>
  <c r="J134" i="16" s="1"/>
  <c r="I126" i="16"/>
  <c r="J126" i="16" s="1"/>
  <c r="I122" i="16"/>
  <c r="J122" i="16" s="1"/>
  <c r="K122" i="16" s="1"/>
  <c r="I121" i="16"/>
  <c r="J121" i="16" s="1"/>
  <c r="I110" i="16"/>
  <c r="J110" i="16" s="1"/>
  <c r="K110" i="16" s="1"/>
  <c r="I104" i="16"/>
  <c r="J104" i="16" s="1"/>
  <c r="K104" i="16" s="1"/>
  <c r="I62" i="16"/>
  <c r="J62" i="16" s="1"/>
  <c r="K62" i="16" s="1"/>
  <c r="I88" i="16"/>
  <c r="J88" i="16" s="1"/>
  <c r="K88" i="16" s="1"/>
  <c r="I109" i="16" l="1"/>
  <c r="J109" i="16" s="1"/>
  <c r="I57" i="16" l="1"/>
  <c r="J57" i="16" s="1"/>
  <c r="K57" i="16" s="1"/>
  <c r="I94" i="16" l="1"/>
  <c r="J94" i="16" s="1"/>
  <c r="K94" i="16" s="1"/>
  <c r="K96" i="16"/>
  <c r="I7" i="16" l="1"/>
  <c r="J7" i="16" s="1"/>
  <c r="I22" i="16"/>
  <c r="J22" i="16" s="1"/>
  <c r="K22" i="16" s="1"/>
  <c r="I8" i="16"/>
  <c r="I14" i="16"/>
  <c r="J14" i="16" s="1"/>
  <c r="K14" i="16" s="1"/>
  <c r="I15" i="16"/>
  <c r="J15" i="16" s="1"/>
  <c r="K15" i="16" s="1"/>
  <c r="I9" i="16"/>
  <c r="J9" i="16" s="1"/>
  <c r="I23" i="16"/>
  <c r="J23" i="16" s="1"/>
  <c r="K23" i="16" s="1"/>
  <c r="I26" i="16"/>
  <c r="J26" i="16" s="1"/>
  <c r="K26" i="16" s="1"/>
  <c r="J8" i="16" l="1"/>
  <c r="I11" i="16"/>
  <c r="J11" i="16" l="1"/>
  <c r="K11" i="16" s="1"/>
  <c r="I10" i="16"/>
  <c r="I21" i="16"/>
  <c r="J21" i="16" s="1"/>
  <c r="I19" i="16"/>
  <c r="J19" i="16" s="1"/>
  <c r="K19" i="16" s="1"/>
  <c r="I17" i="16"/>
  <c r="J17" i="16" s="1"/>
  <c r="K17" i="16" s="1"/>
  <c r="J10" i="16" l="1"/>
  <c r="I42" i="16"/>
  <c r="J42" i="16" l="1"/>
  <c r="I103" i="16"/>
  <c r="J103" i="16" l="1"/>
  <c r="I82" i="16"/>
  <c r="J82" i="16" s="1"/>
  <c r="K82" i="16" s="1"/>
  <c r="J34" i="16" l="1"/>
  <c r="I91" i="16" l="1"/>
  <c r="J91" i="16" s="1"/>
  <c r="I71" i="16"/>
  <c r="J71" i="16" s="1"/>
  <c r="K71" i="16" s="1"/>
  <c r="I65" i="16"/>
  <c r="J65" i="16" s="1"/>
  <c r="K65" i="16" s="1"/>
  <c r="I43" i="16"/>
  <c r="I44" i="16"/>
  <c r="J44" i="16" s="1"/>
  <c r="K44" i="16" s="1"/>
  <c r="I46" i="16"/>
  <c r="J46" i="16" s="1"/>
  <c r="K46" i="16" s="1"/>
  <c r="I45" i="16"/>
  <c r="J45" i="16" s="1"/>
  <c r="K45" i="16" s="1"/>
  <c r="I100" i="16"/>
  <c r="J100" i="16" s="1"/>
  <c r="K100" i="16" s="1"/>
  <c r="I101" i="16"/>
  <c r="J101" i="16" s="1"/>
  <c r="K101" i="16" s="1"/>
  <c r="I20" i="16"/>
  <c r="J20" i="16" s="1"/>
  <c r="K20" i="16" s="1"/>
  <c r="I16" i="16"/>
  <c r="J16" i="16" s="1"/>
  <c r="K16" i="16" s="1"/>
  <c r="K91" i="16" l="1"/>
  <c r="H14" i="53"/>
  <c r="H11" i="53" s="1"/>
  <c r="J43" i="16"/>
  <c r="K43" i="16" s="1"/>
  <c r="I41" i="16"/>
  <c r="J41" i="16" s="1"/>
  <c r="I13" i="16"/>
  <c r="I99" i="16"/>
  <c r="J99" i="16" s="1"/>
  <c r="K99" i="16" s="1"/>
  <c r="I63" i="16"/>
  <c r="J63" i="16" s="1"/>
  <c r="I40" i="16"/>
  <c r="J40" i="16" s="1"/>
  <c r="I18" i="16"/>
  <c r="J18" i="16" s="1"/>
  <c r="I6" i="16"/>
  <c r="I5" i="16" s="1"/>
  <c r="H121" i="16"/>
  <c r="K121" i="16" s="1"/>
  <c r="H8" i="16"/>
  <c r="K8" i="16" s="1"/>
  <c r="J6" i="16" l="1"/>
  <c r="J5" i="16"/>
  <c r="J13" i="16"/>
  <c r="H117" i="16"/>
  <c r="H134" i="16"/>
  <c r="K134" i="16" s="1"/>
  <c r="H126" i="16"/>
  <c r="K126" i="16" s="1"/>
  <c r="H103" i="16" l="1"/>
  <c r="K103" i="16" s="1"/>
  <c r="H34" i="16" l="1"/>
  <c r="K34" i="16" s="1"/>
  <c r="H116" i="16" l="1"/>
  <c r="H63" i="16"/>
  <c r="K63" i="16" s="1"/>
  <c r="D49" i="16"/>
  <c r="H21" i="16"/>
  <c r="K21" i="16" s="1"/>
  <c r="H18" i="16"/>
  <c r="K18" i="16" s="1"/>
  <c r="D18" i="16"/>
  <c r="H13" i="16"/>
  <c r="K13" i="16" s="1"/>
  <c r="H42" i="16"/>
  <c r="H41" i="16" s="1"/>
  <c r="K41" i="16" s="1"/>
  <c r="H10" i="16"/>
  <c r="K10" i="16" s="1"/>
  <c r="H40" i="16" l="1"/>
  <c r="K40" i="16" s="1"/>
  <c r="K42" i="16"/>
  <c r="H138" i="16"/>
  <c r="H115" i="16"/>
  <c r="T12" i="15"/>
  <c r="H7" i="16"/>
  <c r="K7" i="16" s="1"/>
  <c r="H9" i="16"/>
  <c r="K9" i="16" s="1"/>
  <c r="H72" i="16"/>
  <c r="H53" i="16"/>
  <c r="K53" i="16" s="1"/>
  <c r="H66" i="16" l="1"/>
  <c r="K72" i="16"/>
  <c r="H49" i="16"/>
  <c r="H39" i="16" l="1"/>
  <c r="H33" i="16" l="1"/>
  <c r="C13" i="17"/>
  <c r="C8" i="17" l="1"/>
  <c r="F9" i="15"/>
  <c r="F13" i="15"/>
  <c r="D126" i="16" l="1"/>
  <c r="D79" i="16" l="1"/>
  <c r="C12" i="17"/>
  <c r="C11" i="17"/>
  <c r="C10" i="17"/>
  <c r="C9" i="17"/>
  <c r="C14" i="17" s="1"/>
  <c r="D12" i="17" l="1"/>
  <c r="D10" i="17"/>
  <c r="D9" i="17"/>
  <c r="D8" i="17"/>
  <c r="D34" i="17"/>
  <c r="D33" i="17"/>
  <c r="D32" i="17"/>
  <c r="C31" i="17"/>
  <c r="D31" i="17" s="1"/>
  <c r="D30" i="17"/>
  <c r="C29" i="17"/>
  <c r="D29" i="17" s="1"/>
  <c r="D27" i="17"/>
  <c r="D26" i="17"/>
  <c r="C25" i="17"/>
  <c r="D25" i="17" s="1"/>
  <c r="C24" i="17"/>
  <c r="D24" i="17" s="1"/>
  <c r="D22" i="17"/>
  <c r="E21" i="17"/>
  <c r="C21" i="17"/>
  <c r="D20" i="17"/>
  <c r="D19" i="17"/>
  <c r="C18" i="17"/>
  <c r="D18" i="17" s="1"/>
  <c r="C17" i="17"/>
  <c r="D17" i="17" s="1"/>
  <c r="C16" i="17"/>
  <c r="D16" i="17" s="1"/>
  <c r="D13" i="17"/>
  <c r="E9" i="17"/>
  <c r="E8" i="17"/>
  <c r="C15" i="17" l="1"/>
  <c r="D15" i="17" s="1"/>
  <c r="G15" i="17" s="1"/>
  <c r="C28" i="17"/>
  <c r="D28" i="17" s="1"/>
  <c r="D14" i="17"/>
  <c r="D11" i="17"/>
  <c r="H8" i="17" s="1"/>
  <c r="D21" i="17"/>
  <c r="C23" i="17"/>
  <c r="D23" i="17" s="1"/>
  <c r="R22" i="15"/>
  <c r="R23" i="15"/>
  <c r="H12" i="16" s="1"/>
  <c r="R28" i="15"/>
  <c r="R32" i="15"/>
  <c r="R33" i="15"/>
  <c r="R34" i="15"/>
  <c r="C141" i="16"/>
  <c r="C140" i="16"/>
  <c r="C139" i="16"/>
  <c r="C138" i="16"/>
  <c r="D134" i="16"/>
  <c r="C134" i="16"/>
  <c r="C142" i="16" s="1"/>
  <c r="D122" i="16"/>
  <c r="D116" i="16"/>
  <c r="C109" i="16"/>
  <c r="D105" i="16"/>
  <c r="D104" i="16"/>
  <c r="C103" i="16"/>
  <c r="D99" i="16"/>
  <c r="D97" i="16"/>
  <c r="D96" i="16"/>
  <c r="D90" i="16"/>
  <c r="D89" i="16"/>
  <c r="D86" i="16"/>
  <c r="D85" i="16"/>
  <c r="D84" i="16"/>
  <c r="D83" i="16"/>
  <c r="D82" i="16"/>
  <c r="D78" i="16"/>
  <c r="D72" i="16"/>
  <c r="D71" i="16"/>
  <c r="D70" i="16"/>
  <c r="D69" i="16"/>
  <c r="D68" i="16"/>
  <c r="D67" i="16"/>
  <c r="D65" i="16"/>
  <c r="D64" i="16"/>
  <c r="C63" i="16"/>
  <c r="D47" i="16"/>
  <c r="D46" i="16"/>
  <c r="D45" i="16"/>
  <c r="D44" i="16"/>
  <c r="D43" i="16"/>
  <c r="D42" i="16"/>
  <c r="C40" i="16"/>
  <c r="D34" i="16"/>
  <c r="C34" i="16"/>
  <c r="D21" i="16"/>
  <c r="C21" i="16"/>
  <c r="D13" i="16"/>
  <c r="C13" i="16"/>
  <c r="D6" i="16"/>
  <c r="C6" i="16"/>
  <c r="H35" i="15"/>
  <c r="I35" i="15" s="1"/>
  <c r="I34" i="15"/>
  <c r="I33" i="15"/>
  <c r="F33" i="15"/>
  <c r="H32" i="15"/>
  <c r="I32" i="15" s="1"/>
  <c r="F31" i="15"/>
  <c r="H31" i="15" s="1"/>
  <c r="I31" i="15" s="1"/>
  <c r="H30" i="15"/>
  <c r="I30" i="15" s="1"/>
  <c r="I28" i="15"/>
  <c r="I23" i="15"/>
  <c r="I22" i="15"/>
  <c r="G20" i="15"/>
  <c r="G18" i="15" s="1"/>
  <c r="U19" i="15"/>
  <c r="K19" i="15"/>
  <c r="K17" i="15"/>
  <c r="F17" i="15"/>
  <c r="F12" i="15" s="1"/>
  <c r="G16" i="15"/>
  <c r="H16" i="15" s="1"/>
  <c r="I16" i="15" s="1"/>
  <c r="G14" i="15"/>
  <c r="H14" i="15" s="1"/>
  <c r="R14" i="15" s="1"/>
  <c r="G11" i="15"/>
  <c r="H11" i="15" s="1"/>
  <c r="R11" i="15" s="1"/>
  <c r="H10" i="15"/>
  <c r="I10" i="15" s="1"/>
  <c r="O9" i="15"/>
  <c r="N9" i="15"/>
  <c r="P9" i="15" s="1"/>
  <c r="R35" i="15" l="1"/>
  <c r="R30" i="15"/>
  <c r="R31" i="15"/>
  <c r="K12" i="16"/>
  <c r="H6" i="16"/>
  <c r="G15" i="15"/>
  <c r="H15" i="15" s="1"/>
  <c r="U15" i="15"/>
  <c r="U16" i="15" s="1"/>
  <c r="C39" i="16"/>
  <c r="C33" i="16" s="1"/>
  <c r="D66" i="16"/>
  <c r="D40" i="16"/>
  <c r="D138" i="16"/>
  <c r="R16" i="15"/>
  <c r="C5" i="16"/>
  <c r="D115" i="16"/>
  <c r="C137" i="16"/>
  <c r="R10" i="15"/>
  <c r="D63" i="16"/>
  <c r="C115" i="16"/>
  <c r="D5" i="16"/>
  <c r="D92" i="16"/>
  <c r="D114" i="16"/>
  <c r="C7" i="17"/>
  <c r="D7" i="17" s="1"/>
  <c r="D41" i="16"/>
  <c r="D103" i="16"/>
  <c r="D113" i="16"/>
  <c r="G19" i="15"/>
  <c r="H19" i="15" s="1"/>
  <c r="H18" i="15"/>
  <c r="H9" i="15"/>
  <c r="R9" i="15" s="1"/>
  <c r="I11" i="15"/>
  <c r="H25" i="15"/>
  <c r="R25" i="15" s="1"/>
  <c r="H26" i="15"/>
  <c r="H20" i="15"/>
  <c r="U20" i="15"/>
  <c r="H29" i="15"/>
  <c r="R29" i="15" s="1"/>
  <c r="D64" i="13"/>
  <c r="K6" i="16" l="1"/>
  <c r="H5" i="16"/>
  <c r="H114" i="16"/>
  <c r="D141" i="16"/>
  <c r="H113" i="16"/>
  <c r="K113" i="16" s="1"/>
  <c r="D142" i="16"/>
  <c r="D39" i="16"/>
  <c r="I26" i="15"/>
  <c r="R26" i="15"/>
  <c r="I20" i="15"/>
  <c r="R20" i="15"/>
  <c r="I19" i="15"/>
  <c r="R19" i="15"/>
  <c r="H17" i="15"/>
  <c r="R18" i="15"/>
  <c r="I15" i="15"/>
  <c r="R15" i="15"/>
  <c r="C35" i="17"/>
  <c r="D35" i="17" s="1"/>
  <c r="I9" i="15"/>
  <c r="I29" i="15"/>
  <c r="H27" i="15"/>
  <c r="H24" i="15"/>
  <c r="I25" i="15"/>
  <c r="H13" i="15"/>
  <c r="H142" i="16" l="1"/>
  <c r="K142" i="16" s="1"/>
  <c r="K114" i="16"/>
  <c r="H21" i="15"/>
  <c r="R21" i="15" s="1"/>
  <c r="K5" i="16"/>
  <c r="H102" i="16"/>
  <c r="H109" i="16" s="1"/>
  <c r="I27" i="15"/>
  <c r="R27" i="15"/>
  <c r="H141" i="16"/>
  <c r="K141" i="16" s="1"/>
  <c r="I24" i="15"/>
  <c r="R24" i="15"/>
  <c r="I17" i="15"/>
  <c r="R17" i="15"/>
  <c r="R13" i="15"/>
  <c r="D33" i="16"/>
  <c r="I13" i="15"/>
  <c r="D96" i="13"/>
  <c r="K109" i="16" l="1"/>
  <c r="H111" i="16"/>
  <c r="D102" i="16"/>
  <c r="I21" i="15"/>
  <c r="H12" i="15"/>
  <c r="R12" i="15" s="1"/>
  <c r="D122" i="13"/>
  <c r="D121" i="13"/>
  <c r="D120" i="13" l="1"/>
  <c r="K111" i="16"/>
  <c r="H112" i="16"/>
  <c r="K112" i="16" s="1"/>
  <c r="D111" i="16"/>
  <c r="D112" i="16" s="1"/>
  <c r="D140" i="16" s="1"/>
  <c r="J12" i="15"/>
  <c r="K15" i="15" s="1"/>
  <c r="I12" i="15"/>
  <c r="H8" i="15"/>
  <c r="R8" i="15" s="1"/>
  <c r="D115" i="13"/>
  <c r="D123" i="13"/>
  <c r="D127" i="13"/>
  <c r="D139" i="16" l="1"/>
  <c r="D137" i="16" s="1"/>
  <c r="D109" i="16"/>
  <c r="H36" i="15"/>
  <c r="F40" i="15" s="1"/>
  <c r="J8" i="15"/>
  <c r="I8" i="15"/>
  <c r="C108" i="13"/>
  <c r="C102" i="13"/>
  <c r="C138" i="13"/>
  <c r="C137" i="13"/>
  <c r="C136" i="13"/>
  <c r="C135" i="13"/>
  <c r="D131" i="13"/>
  <c r="F115" i="13" s="1"/>
  <c r="F116" i="13" s="1"/>
  <c r="C131" i="13"/>
  <c r="C114" i="13" s="1"/>
  <c r="C61" i="13"/>
  <c r="C39" i="13"/>
  <c r="C34" i="13"/>
  <c r="D23" i="13"/>
  <c r="C23" i="13"/>
  <c r="C15" i="13"/>
  <c r="C8" i="13"/>
  <c r="D104" i="13"/>
  <c r="D103" i="13"/>
  <c r="D135" i="13" s="1"/>
  <c r="D15" i="13"/>
  <c r="D8" i="13"/>
  <c r="D112" i="13" s="1"/>
  <c r="D98" i="13"/>
  <c r="D95" i="13"/>
  <c r="F93" i="13"/>
  <c r="F94" i="13" s="1"/>
  <c r="D89" i="13"/>
  <c r="D113" i="13" s="1"/>
  <c r="D88" i="13"/>
  <c r="D85" i="13"/>
  <c r="D84" i="13"/>
  <c r="D83" i="13"/>
  <c r="D82" i="13"/>
  <c r="D81" i="13"/>
  <c r="D78" i="13"/>
  <c r="D77" i="13"/>
  <c r="D71" i="13"/>
  <c r="D70" i="13"/>
  <c r="D69" i="13"/>
  <c r="D68" i="13"/>
  <c r="D67" i="13"/>
  <c r="D66" i="13"/>
  <c r="D63" i="13"/>
  <c r="D62" i="13"/>
  <c r="D48" i="13"/>
  <c r="D46" i="13"/>
  <c r="D45" i="13"/>
  <c r="D44" i="13"/>
  <c r="D43" i="13"/>
  <c r="D42" i="13"/>
  <c r="D41" i="13"/>
  <c r="D34" i="13"/>
  <c r="I36" i="15" l="1"/>
  <c r="R36" i="15"/>
  <c r="D61" i="13"/>
  <c r="C139" i="13"/>
  <c r="C134" i="13" s="1"/>
  <c r="D65" i="13"/>
  <c r="F118" i="13"/>
  <c r="D114" i="13"/>
  <c r="H114" i="13" s="1"/>
  <c r="D7" i="13"/>
  <c r="C38" i="13"/>
  <c r="C33" i="13" s="1"/>
  <c r="C7" i="13"/>
  <c r="D102" i="13"/>
  <c r="D91" i="13"/>
  <c r="D40" i="13"/>
  <c r="D39" i="13" s="1"/>
  <c r="D139" i="13"/>
  <c r="D38" i="13" l="1"/>
  <c r="D33" i="13" s="1"/>
  <c r="D101" i="13" s="1"/>
  <c r="D110" i="13" s="1"/>
  <c r="D136" i="13" s="1"/>
  <c r="D111" i="13" l="1"/>
  <c r="D108" i="13" l="1"/>
  <c r="D137" i="13"/>
  <c r="C44" i="11" l="1"/>
  <c r="C46" i="11"/>
  <c r="D81" i="11" l="1"/>
  <c r="D77" i="11"/>
  <c r="C45" i="11"/>
  <c r="C95" i="11" l="1"/>
  <c r="C96" i="11"/>
  <c r="D67" i="11"/>
  <c r="C67" i="11"/>
  <c r="C94" i="11" s="1"/>
  <c r="C97" i="11"/>
  <c r="C90" i="11"/>
  <c r="C78" i="11" s="1"/>
  <c r="C48" i="11"/>
  <c r="C34" i="11"/>
  <c r="D23" i="11"/>
  <c r="C23" i="11"/>
  <c r="C72" i="11"/>
  <c r="C56" i="11"/>
  <c r="C53" i="11"/>
  <c r="C39" i="11"/>
  <c r="C20" i="11"/>
  <c r="C15" i="11"/>
  <c r="C8" i="11"/>
  <c r="D54" i="11"/>
  <c r="D82" i="11"/>
  <c r="D59" i="11"/>
  <c r="C66" i="11" l="1"/>
  <c r="C98" i="11"/>
  <c r="C38" i="11"/>
  <c r="C33" i="11" s="1"/>
  <c r="C93" i="11"/>
  <c r="C7" i="11"/>
  <c r="C34" i="12"/>
  <c r="C32" i="12"/>
  <c r="D60" i="11"/>
  <c r="D44" i="11"/>
  <c r="D68" i="11"/>
  <c r="D66" i="11" s="1"/>
  <c r="C65" i="11" l="1"/>
  <c r="D39" i="11"/>
  <c r="D38" i="11" l="1"/>
  <c r="D34" i="11"/>
  <c r="D53" i="11"/>
  <c r="D20" i="11"/>
  <c r="D15" i="11"/>
  <c r="D8" i="11"/>
  <c r="D58" i="11"/>
  <c r="D56" i="11" s="1"/>
  <c r="D7" i="11" l="1"/>
  <c r="D76" i="11"/>
  <c r="D97" i="11" s="1"/>
  <c r="D33" i="11"/>
  <c r="D90" i="11"/>
  <c r="C8" i="12"/>
  <c r="D8" i="12" s="1"/>
  <c r="E8" i="12"/>
  <c r="C9" i="12"/>
  <c r="D9" i="12" s="1"/>
  <c r="E9" i="12"/>
  <c r="C10" i="12"/>
  <c r="D10" i="12" s="1"/>
  <c r="C11" i="12"/>
  <c r="D11" i="12" s="1"/>
  <c r="C12" i="12"/>
  <c r="D12" i="12" s="1"/>
  <c r="C13" i="12"/>
  <c r="D13" i="12" s="1"/>
  <c r="C14" i="12"/>
  <c r="D14" i="12" s="1"/>
  <c r="C15" i="12"/>
  <c r="D15" i="12" s="1"/>
  <c r="D16" i="12"/>
  <c r="C19" i="12"/>
  <c r="D19" i="12" s="1"/>
  <c r="C20" i="12"/>
  <c r="D20" i="12"/>
  <c r="C21" i="12"/>
  <c r="D21" i="12" s="1"/>
  <c r="D22" i="12"/>
  <c r="D23" i="12"/>
  <c r="C24" i="12"/>
  <c r="D24" i="12" s="1"/>
  <c r="E24" i="12"/>
  <c r="D25" i="12"/>
  <c r="C27" i="12"/>
  <c r="D27" i="12"/>
  <c r="C28" i="12"/>
  <c r="D28" i="12" s="1"/>
  <c r="D29" i="12"/>
  <c r="D30" i="12"/>
  <c r="D32" i="12"/>
  <c r="D33" i="12"/>
  <c r="D34" i="12"/>
  <c r="D35" i="12"/>
  <c r="D36" i="12"/>
  <c r="D37" i="12"/>
  <c r="H13" i="12" l="1"/>
  <c r="D65" i="11"/>
  <c r="D74" i="11" s="1"/>
  <c r="D95" i="11" s="1"/>
  <c r="C26" i="12"/>
  <c r="D26" i="12" s="1"/>
  <c r="C18" i="12"/>
  <c r="D18" i="12" s="1"/>
  <c r="D98" i="11"/>
  <c r="D75" i="11"/>
  <c r="C31" i="12"/>
  <c r="D31" i="12" s="1"/>
  <c r="D79" i="11" s="1"/>
  <c r="C17" i="12"/>
  <c r="D17" i="12" s="1"/>
  <c r="I39" i="9"/>
  <c r="I38" i="9"/>
  <c r="I37" i="9"/>
  <c r="I36" i="9"/>
  <c r="I35" i="9"/>
  <c r="H34" i="9"/>
  <c r="I34" i="9" s="1"/>
  <c r="J34" i="9" s="1"/>
  <c r="I33" i="9"/>
  <c r="I32" i="9"/>
  <c r="I31" i="9"/>
  <c r="I30" i="9"/>
  <c r="I29" i="9"/>
  <c r="I28" i="9"/>
  <c r="J28" i="9" s="1"/>
  <c r="I27" i="9"/>
  <c r="G26" i="9"/>
  <c r="I26" i="9" s="1"/>
  <c r="I25" i="9"/>
  <c r="I24" i="9"/>
  <c r="J24" i="9" s="1"/>
  <c r="I23" i="9"/>
  <c r="I22" i="9"/>
  <c r="J22" i="9" s="1"/>
  <c r="I21" i="9"/>
  <c r="I20" i="9"/>
  <c r="I19" i="9"/>
  <c r="I18" i="9"/>
  <c r="I17" i="9"/>
  <c r="I16" i="9"/>
  <c r="I15" i="9"/>
  <c r="J15" i="9" s="1"/>
  <c r="I14" i="9"/>
  <c r="I13" i="9"/>
  <c r="I12" i="9"/>
  <c r="I11" i="9"/>
  <c r="J11" i="9" s="1"/>
  <c r="I10" i="9"/>
  <c r="I9" i="9"/>
  <c r="I8" i="9"/>
  <c r="I7" i="9"/>
  <c r="I5" i="9"/>
  <c r="D94" i="11" l="1"/>
  <c r="D80" i="11"/>
  <c r="G18" i="12"/>
  <c r="D72" i="11"/>
  <c r="D96" i="11"/>
  <c r="I3" i="9"/>
  <c r="C7" i="12"/>
  <c r="C38" i="12" s="1"/>
  <c r="D38" i="12" s="1"/>
  <c r="J3" i="9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6" i="8"/>
  <c r="I24" i="8"/>
  <c r="I23" i="8"/>
  <c r="I11" i="8"/>
  <c r="D7" i="12" l="1"/>
  <c r="I49" i="8"/>
  <c r="D78" i="11"/>
  <c r="G14" i="3"/>
  <c r="G15" i="7"/>
  <c r="G101" i="7"/>
  <c r="L8" i="7"/>
  <c r="I39" i="5"/>
  <c r="I38" i="5"/>
  <c r="I37" i="5"/>
  <c r="I31" i="5"/>
  <c r="D93" i="11" l="1"/>
  <c r="I17" i="5"/>
  <c r="I18" i="5"/>
  <c r="I20" i="5"/>
  <c r="I21" i="5"/>
  <c r="I24" i="5"/>
  <c r="I26" i="5"/>
  <c r="I25" i="5"/>
  <c r="I23" i="5" l="1"/>
  <c r="I30" i="5"/>
  <c r="I29" i="5"/>
  <c r="I13" i="5"/>
  <c r="I7" i="5" l="1"/>
  <c r="I27" i="5"/>
  <c r="I41" i="5" s="1"/>
  <c r="J11" i="4"/>
  <c r="H11" i="4"/>
  <c r="J10" i="4"/>
  <c r="H10" i="4"/>
  <c r="I9" i="4"/>
  <c r="I8" i="4"/>
  <c r="I6" i="4"/>
  <c r="I5" i="4" s="1"/>
  <c r="I4" i="4" l="1"/>
  <c r="J9" i="4"/>
  <c r="L7" i="3"/>
  <c r="L8" i="3"/>
  <c r="G100" i="3"/>
  <c r="D138" i="13"/>
  <c r="D134" i="13" s="1"/>
  <c r="H139" i="16"/>
  <c r="K139" i="16" s="1"/>
  <c r="H140" i="16" l="1"/>
  <c r="K140" i="16" s="1"/>
  <c r="H137" i="16" l="1"/>
  <c r="I97" i="16"/>
  <c r="J97" i="16" s="1"/>
  <c r="K97" i="16" s="1"/>
  <c r="I66" i="16"/>
  <c r="I49" i="16"/>
  <c r="J66" i="16" l="1"/>
  <c r="K66" i="16" s="1"/>
  <c r="I39" i="16"/>
  <c r="J49" i="16"/>
  <c r="K49" i="16" s="1"/>
  <c r="I33" i="16" l="1"/>
  <c r="J39" i="16"/>
  <c r="K39" i="16" s="1"/>
  <c r="I102" i="16" l="1"/>
  <c r="J102" i="16" s="1"/>
  <c r="K102" i="16" s="1"/>
  <c r="J33" i="16"/>
  <c r="K33" i="16" s="1"/>
  <c r="J138" i="16"/>
  <c r="K138" i="16" s="1"/>
  <c r="I116" i="16"/>
  <c r="J116" i="16" s="1"/>
  <c r="K116" i="16" s="1"/>
  <c r="I137" i="16"/>
  <c r="J137" i="16" s="1"/>
  <c r="K137" i="16" s="1"/>
  <c r="I115" i="16" l="1"/>
  <c r="J115" i="16" s="1"/>
  <c r="K11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Nhat</author>
  </authors>
  <commentList>
    <comment ref="D59" authorId="0" shapeId="0" xr:uid="{00000000-0006-0000-2700-000001000000}">
      <text>
        <r>
          <rPr>
            <b/>
            <sz val="8"/>
            <color indexed="81"/>
            <rFont val="Tahoma"/>
            <family val="2"/>
          </rPr>
          <t>Trừ VSMT chuyển HCQT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20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HSQL 1.0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7" authorId="0" shapeId="0" xr:uid="{00000000-0006-0000-29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HSQL 1.0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H31" authorId="0" shapeId="0" xr:uid="{00000000-0006-0000-2F00-000001000000}">
      <text>
        <r>
          <rPr>
            <b/>
            <sz val="9"/>
            <color indexed="81"/>
            <rFont val="Tahoma"/>
            <family val="2"/>
            <charset val="163"/>
          </rPr>
          <t>Acer:</t>
        </r>
        <r>
          <rPr>
            <sz val="9"/>
            <color indexed="81"/>
            <rFont val="Tahoma"/>
            <family val="2"/>
            <charset val="163"/>
          </rPr>
          <t xml:space="preserve">
1.234+1.670+236
</t>
        </r>
      </text>
    </comment>
  </commentList>
</comments>
</file>

<file path=xl/sharedStrings.xml><?xml version="1.0" encoding="utf-8"?>
<sst xmlns="http://schemas.openxmlformats.org/spreadsheetml/2006/main" count="1362" uniqueCount="675">
  <si>
    <t>TRƯỜNG ĐẠI HỌC ĐIỆN LỰC</t>
  </si>
  <si>
    <t>Đơn vị tính: đồng</t>
  </si>
  <si>
    <t>TT</t>
  </si>
  <si>
    <t>Tên dự án - địa điểm</t>
  </si>
  <si>
    <t>Khởi công/hoàn thành</t>
  </si>
  <si>
    <t>Tổng dự toán được duyệt</t>
  </si>
  <si>
    <t>Số vốn đã được giải ngân</t>
  </si>
  <si>
    <t>Kế hoạch
năm 2024</t>
  </si>
  <si>
    <t>I</t>
  </si>
  <si>
    <t>Dự án: Trạm biến áp Cơ sở 1, Hạng mục: Cải tạo, nâng cấp trạm biến áp CS1 - Giai đoạn 2</t>
  </si>
  <si>
    <t>593/QĐ-ĐHĐL</t>
  </si>
  <si>
    <t>Dự án: Cải tạo, sửa chữa thường xuyên tại CS1, đợt 1 năm 2021</t>
  </si>
  <si>
    <t>483/QĐ-ĐHĐL</t>
  </si>
  <si>
    <t>Cải tạo hạ tầng CS1</t>
  </si>
  <si>
    <t>Cảnh quan Cơ sở 1</t>
  </si>
  <si>
    <t>TỔNG CỘNG</t>
  </si>
  <si>
    <t>STT</t>
  </si>
  <si>
    <t>Tên máy móc - Trang thiết bị, công cụ dụng cụ và phần mềm chuyên môn</t>
  </si>
  <si>
    <t>Thông số kỹ thuật - tính năng kỹ thuật cơ bản</t>
  </si>
  <si>
    <t>Đơn vị tính</t>
  </si>
  <si>
    <t>Số lượng</t>
  </si>
  <si>
    <t>Kinh phí dự kiến mua sắm năm 2024</t>
  </si>
  <si>
    <t>Ghi chú</t>
  </si>
  <si>
    <t xml:space="preserve">Hiện có </t>
  </si>
  <si>
    <t>Kế hoạch</t>
  </si>
  <si>
    <t>Đơn giá</t>
  </si>
  <si>
    <t>Thành tiền</t>
  </si>
  <si>
    <t>Tốt</t>
  </si>
  <si>
    <t>Hỏng</t>
  </si>
  <si>
    <t>Máy tính văn phòng</t>
  </si>
  <si>
    <t>Bộ</t>
  </si>
  <si>
    <t>TT HTVL&amp;KN</t>
  </si>
  <si>
    <t>Thay thế thiết bị hỏng</t>
  </si>
  <si>
    <t>Khoa KHTN</t>
  </si>
  <si>
    <t>Bộ</t>
  </si>
  <si>
    <t>TT ĐTTX</t>
  </si>
  <si>
    <t>Khoa NN</t>
  </si>
  <si>
    <t>Máy scan</t>
  </si>
  <si>
    <t>Chiếc</t>
  </si>
  <si>
    <t>HCQT</t>
  </si>
  <si>
    <t>Máy tính xách tay</t>
  </si>
  <si>
    <t>Phục vụ cài đặt phần mềm giám sát xe ra, vào tại bốt xe CS1</t>
  </si>
  <si>
    <t>Hỗ trợ công tác kiểm tra việc chấp hành nội quy, quy chế của GV và SV tại các phòng học lý thuyết CS1</t>
  </si>
  <si>
    <t>Tivi các phòng học nhà B1, E, M</t>
  </si>
  <si>
    <t>TRUNG TÂM CNTT</t>
  </si>
  <si>
    <t>Phục vụ công việc thường xuyên</t>
  </si>
  <si>
    <t>KHTC</t>
  </si>
  <si>
    <t>Máy hủy tài liệu</t>
  </si>
  <si>
    <t>Cái</t>
  </si>
  <si>
    <t>Máy in thẻ Sigma DS1</t>
  </si>
  <si>
    <t>cái</t>
  </si>
  <si>
    <t>TTHL</t>
  </si>
  <si>
    <t>Bộ bàn ghế văn phòng</t>
  </si>
  <si>
    <t>TT THTN</t>
  </si>
  <si>
    <t xml:space="preserve">TỔNG </t>
  </si>
  <si>
    <t>Tổng cộng</t>
  </si>
  <si>
    <t>Xây lại</t>
  </si>
  <si>
    <t>Đổ sập</t>
  </si>
  <si>
    <t>Sửa chữa Tường rào</t>
  </si>
  <si>
    <t>CS1</t>
  </si>
  <si>
    <t>Nâng cấp hệ thống máy chủ, hệ thống mạng của Trường</t>
  </si>
  <si>
    <t>Nâng cấp bản quyền hệ điều hành, Database, Vcenter (Quản lý hệ thống máy chủ ảo)</t>
  </si>
  <si>
    <t>Chưa có bản quyền</t>
  </si>
  <si>
    <t>Đơn vị đăng ký</t>
  </si>
  <si>
    <t>Kinh phí 
dự kiến</t>
  </si>
  <si>
    <t>Hiện trạng</t>
  </si>
  <si>
    <t>Thời gian sửa chữa gần đây nhất (trong năm 2021 nếu có)</t>
  </si>
  <si>
    <t>Địa điểm</t>
  </si>
  <si>
    <t>Nội dung</t>
  </si>
  <si>
    <t xml:space="preserve">         BỘ CÔNG THƯƠNG</t>
  </si>
  <si>
    <t>Hệ thống cấp thoát nước CS1</t>
  </si>
  <si>
    <t>Đơn vị tính: triệu đồng</t>
  </si>
  <si>
    <t>QĐ CHỦ TRƯƠNG</t>
  </si>
  <si>
    <t>QĐ 
BCKTKT</t>
  </si>
  <si>
    <t>Giá trị thực hiện</t>
  </si>
  <si>
    <t xml:space="preserve"> Giá trị còn (dự kiến) </t>
  </si>
  <si>
    <t>Tổng số</t>
  </si>
  <si>
    <t>Nhóm B</t>
  </si>
  <si>
    <t>Nhà thí nghiệm kết hợp nhà học</t>
  </si>
  <si>
    <t>864/QĐ-ĐHDL</t>
  </si>
  <si>
    <t>542/QĐ-ĐHDL</t>
  </si>
  <si>
    <t>II</t>
  </si>
  <si>
    <t>Nhóm C</t>
  </si>
  <si>
    <t>Phần mềm hệ thống quản trị Nhà trường</t>
  </si>
  <si>
    <t>447/QĐ-ĐHĐL</t>
  </si>
  <si>
    <t>805/QĐ-ĐHĐL</t>
  </si>
  <si>
    <t>655/QĐ-ĐHĐL</t>
  </si>
  <si>
    <t>Cung cấp, lắp đặt thiết bị PCCC CS2</t>
  </si>
  <si>
    <t>TRƯỞNG ĐƠN VỊ</t>
  </si>
  <si>
    <t>NGƯỜI LẬP BIỂU</t>
  </si>
  <si>
    <t>Máy photocopy văn phòng</t>
  </si>
  <si>
    <t>Phòng chờ giáo viên E101 CS2</t>
  </si>
  <si>
    <t>CS2</t>
  </si>
  <si>
    <t>Nội dung cần  
sửa chữa/cải tạo/mở rộng</t>
  </si>
  <si>
    <t>Máy chiếu và màn chiếu hoặc TV kết hợp bảng viết</t>
  </si>
  <si>
    <t>Thay thế máy chiếu, màn chiếu cũ, hỏng tại các phòng học nhà A, G -CS1</t>
  </si>
  <si>
    <t>1134/QĐ-ĐHĐL</t>
  </si>
  <si>
    <t xml:space="preserve">Không gian sáng tạo và kết nối tri thức </t>
  </si>
  <si>
    <t>Sửa chữa 03 phòng: Trần tôn nhà Cơ nhiệt. Sửa trần nhựa, điện ánh sáng, quạt phòng thực hành nhà Cơ nhiệt</t>
  </si>
  <si>
    <t>TT CNTT</t>
  </si>
  <si>
    <t>Sửa chữa, cải tạo</t>
  </si>
  <si>
    <t>Sự cần thiết đầu tư</t>
  </si>
  <si>
    <t>Đơn vị trang bị</t>
  </si>
  <si>
    <t>Văn thư, HCQT</t>
  </si>
  <si>
    <t>Thay thế máy 01 cũ chạy chậm và thường xuyên phải sửa chữa không đáp ứng được công việc</t>
  </si>
  <si>
    <t>Máy tính kết nối hệ thống camera quan sát</t>
  </si>
  <si>
    <t>Trang bị cho viên chức tuyển dụng cuối năm 2023</t>
  </si>
  <si>
    <t>Trang bị cho người lao động tuyển dụng  năm 2023</t>
  </si>
  <si>
    <t>Trang bị thêm cho Tổ Văn thư và bộ phận văn phòng phục vụ công tác lưu trữ tài liệu</t>
  </si>
  <si>
    <t>Máy tính soát xe ra, vào tại bốt xe CS1</t>
  </si>
  <si>
    <t>Máy tính chuyên dụng</t>
  </si>
  <si>
    <t>Trang bị để cái đặt các phần mềm quản lý cần cấu hình cao</t>
  </si>
  <si>
    <t>Máy tính xách tay phục vụ công tác quản lý</t>
  </si>
  <si>
    <t>Máy văn phòng</t>
  </si>
  <si>
    <t>Phục vụ các hội nghị, cuộc họp và kiểm tra thiết bị trình chiếu</t>
  </si>
  <si>
    <t>Phục vụ in thẻ thư viện cho giảng viên và sinh viên</t>
  </si>
  <si>
    <t>Thiết bị  khác</t>
  </si>
  <si>
    <t>III</t>
  </si>
  <si>
    <t>Phòng QLKH&amp;HTQT</t>
  </si>
  <si>
    <t>KẾ HOẠCH MUA SẮM MÁY VĂN PHÒNG, MÁY TÍNH CHUYÊN DUNG VÀ THIẾT BỊ PHỤC VỤ GIẢNG DẠY
NĂM 2024</t>
  </si>
  <si>
    <t>Máy đo phân tích khói 
thải khí thải</t>
  </si>
  <si>
    <t xml:space="preserve">License Phần mềm Design Builder thực hiện mô phỏng công trình chính xác. Kết quả tính toán có thể xuất ra dạng biểu đồ, hình ảnh </t>
  </si>
  <si>
    <t>1 năm</t>
  </si>
  <si>
    <t>Máy hiện sóng số Tektronix TDS2022C</t>
  </si>
  <si>
    <t xml:space="preserve">Thiết bị đo nhiệt độ tiếp xúc 2 kênh </t>
  </si>
  <si>
    <t>Thiết bị đo áp suất</t>
  </si>
  <si>
    <t>Thiết bị đo độ ẩm không khí</t>
  </si>
  <si>
    <t xml:space="preserve">Thiết bị thí nghiệm dầu cách điện: </t>
  </si>
  <si>
    <t>Bộ thử rơ le: SVERKER 650</t>
  </si>
  <si>
    <t xml:space="preserve">Biến áp tự ngẫu (VARIABLE- TRANS FORMER)
</t>
  </si>
  <si>
    <t>Tủ mô hình</t>
  </si>
  <si>
    <t>Phần mềm quản lý nhân sự</t>
  </si>
  <si>
    <t xml:space="preserve">Phần mềm Autodesk Revit </t>
  </si>
  <si>
    <t>TCCB</t>
  </si>
  <si>
    <t>ĐTTX</t>
  </si>
  <si>
    <t>KẾ HOẠCH VỐN ĐĂNG KÍ PHẦN MỀM 2024</t>
  </si>
  <si>
    <t>Thuê đường truyền leased line</t>
  </si>
  <si>
    <t>Số hóa Xây dựng phần mềm quản lý lưu trữ tài liệu điện tử và số hóa tài liệu lưu trữ</t>
  </si>
  <si>
    <t>Xây dựng hệ thống quản lý văn bản và điều hành</t>
  </si>
  <si>
    <t>Xây dựng hệ thống đào tạo trực tuyến E-learning</t>
  </si>
  <si>
    <t>KẾ HOẠCH VỐN ĐĂNG KÍ DỰ ÁN MỚI 2024</t>
  </si>
  <si>
    <t>TT TNTH</t>
  </si>
  <si>
    <t>KẾ HOẠCH MUA SẮM MÁY MÓC - TRANG THIẾT BỊ, CÔNG CỤ DỤNG CỤ VÀ CÁC HỆ THỐNG PHẦN MỀM CHUYÊN MÔN
NĂM 2024</t>
  </si>
  <si>
    <t>Mục đích nhu cầu sử dụng</t>
  </si>
  <si>
    <t>Viên chức tuyển mới năm 2022, chưa có máy tính để bàn</t>
  </si>
  <si>
    <t>Phục vụ đào tạo</t>
  </si>
  <si>
    <t>Phục vụ công tác lưu trữ tài liệu</t>
  </si>
  <si>
    <t>Viên chức tuyển mới năm 2022 chưa có máy bàn sử dụng</t>
  </si>
  <si>
    <t>Văn thư</t>
  </si>
  <si>
    <t>Mua thiết bị kết nối các phòng học CS1</t>
  </si>
  <si>
    <t>Cung cấp, lắp đặt 6 phòng máy thực hành, thi trắc nghiệm (Nhà E)</t>
  </si>
  <si>
    <t>gói</t>
  </si>
  <si>
    <t>Điều hòa các loại tại CS1</t>
  </si>
  <si>
    <t>bộ</t>
  </si>
  <si>
    <t>Các thiết bị phục vụ giảng dạy chuyên ngành</t>
  </si>
  <si>
    <t>Gói</t>
  </si>
  <si>
    <t>Phục vụ các hội nghị  và kiểm tra thiết bị hỗ trợ giảng dạy tại CS1</t>
  </si>
  <si>
    <t>Máy tính để bàn</t>
  </si>
  <si>
    <t>Máy tính để bàn kết nối hệ thống camera quan sát</t>
  </si>
  <si>
    <t>RAM máy chủ 16GB</t>
  </si>
  <si>
    <t>RAM máy chủ 16GB, 2666MHz DDR4</t>
  </si>
  <si>
    <t>04</t>
  </si>
  <si>
    <t>Nâng cấp RAM cho hệ thống máy chủ của Nhà trường</t>
  </si>
  <si>
    <t xml:space="preserve">Máy tính để bàn </t>
  </si>
  <si>
    <t>PHÒNG QLKH&amp;HTQT</t>
  </si>
  <si>
    <t>Văn phòng khoa</t>
  </si>
  <si>
    <t>Phân tích được thông số: Nhiệt độ, tỉ lệ O2 dư, CO, CO2, SOX, NOX</t>
  </si>
  <si>
    <t>Bổ sung Thí nghiệm KTNL thay Thiết bị cũ hỏng, đã thanh lý</t>
  </si>
  <si>
    <t>Khoa: QLCN&amp;NL</t>
  </si>
  <si>
    <r>
      <rPr>
        <b/>
        <sz val="12"/>
        <rFont val="Times New Roman"/>
        <family val="1"/>
      </rPr>
      <t>01 license Engineering PRO với 20 license Student</t>
    </r>
    <r>
      <rPr>
        <sz val="12"/>
        <rFont val="Times New Roman"/>
        <family val="1"/>
      </rPr>
      <t xml:space="preserve">
Simulation, Visualisation, Daylighting, HVAC, Cost, LEED, Optimisation, Scripting, CFD</t>
    </r>
  </si>
  <si>
    <r>
      <t>Phần mềm Design Builder thực hiện mô phỏng công trình chính xác</t>
    </r>
    <r>
      <rPr>
        <sz val="12"/>
        <color theme="1"/>
        <rFont val="Arial"/>
        <family val="2"/>
      </rPr>
      <t>. </t>
    </r>
    <r>
      <rPr>
        <sz val="12"/>
        <color theme="1"/>
        <rFont val="Times New Roman"/>
        <family val="1"/>
      </rPr>
      <t xml:space="preserve">Kết quả tính toán có thể xuất ra dạng biểu đồ, hình ảnh </t>
    </r>
  </si>
  <si>
    <t>20 Licence/năm</t>
  </si>
  <si>
    <t>Giảng dạy SV Quản lý năng lượng, Quản lý Công nghiệp</t>
  </si>
  <si>
    <t xml:space="preserve">Máy hiện sóng số </t>
  </si>
  <si>
    <t xml:space="preserve">Tektronix TDS2022C </t>
  </si>
  <si>
    <t>Khoa: ĐK&amp;TĐH</t>
  </si>
  <si>
    <t>Thiết bị đo nhiệt độ tiếp xúc 
2 kênh</t>
  </si>
  <si>
    <t>Cảm biến: 2 kênh kiểu K hoặc T
Dải nhiệt độ: -200 đến 1300℃
Độ phân giải: 0.1℃
Độ chính xác ±0.3%FS</t>
  </si>
  <si>
    <t>Bài thực hành Đo lường nhiệt, Bài thực hành TĐH HTL&amp; ĐHKK</t>
  </si>
  <si>
    <t>Khoa: CNNL</t>
  </si>
  <si>
    <t>Dải đo: 0-20kgf/cm2
Độ chính xác: ±0.5%FS</t>
  </si>
  <si>
    <t>Bài thực hành Đo lường nhiệt, Bài thực hành TĐH HTL&amp; ĐHKK5, Bai thực hành Bơm, quạt máy nén</t>
  </si>
  <si>
    <t>Đo độ ẩm không khí
Thang đo độ ẩm: 1%-99%</t>
  </si>
  <si>
    <t>Bài thực hành Đo lường nhiệt, Bài thực hành TĐH HTL&amp; ĐHKK5, Bài thực hành Bơm, quạt máy nén</t>
  </si>
  <si>
    <t xml:space="preserve">License </t>
  </si>
  <si>
    <t>Thực hành tin học ngành nhiệt - lạnh, thực hành tin học chuyên ngành Điện lạnh, Thực hành tin học ngành Nhiệt điện, Thực hành tin học ngành Nhiệt công nghiệp</t>
  </si>
  <si>
    <t xml:space="preserve"> PORTATEST, 900VA/50-60HZ</t>
  </si>
  <si>
    <t>chiếc</t>
  </si>
  <si>
    <t>Cao áp</t>
  </si>
  <si>
    <t>Khoa: KTĐ</t>
  </si>
  <si>
    <t>SVERKER 650</t>
  </si>
  <si>
    <t>Rơ le</t>
  </si>
  <si>
    <t>Khí cụ điện</t>
  </si>
  <si>
    <t>Tủ điện thực tập</t>
  </si>
  <si>
    <t>KT: 1000x700x300mm T1mm 1 cánh; 01 MCCB 3p 100A; 01 MCCB 50A, 01 Công tắc tơ 50A; 01 rơ le nhiệt 50A; 03 MCB 32A; 02 RCCB 30mA 40A; 03 bộ cầu chì 5A; 03 đèn báo pha; bộ Bus bar) + phụ kiện thay thế, sơ đồ nguyên lý, lắp đặt.</t>
  </si>
  <si>
    <t>Điện cơ bản</t>
  </si>
  <si>
    <t>KT: 1000x700x300mm T1.2mm 2 cánh ; 01 MCCB 3p 100A; 01 MCCB 50A, 01 Công tắc tơ 50A; 01 rơ le nhiệt 50A; 03 MCB 32A; 02 RCCB 30mA 40A; 03 bộ cầu chì; 03 đèn báo pha; 03 CT 100/5A ; 01 đồng hồ đo V, A điện tử; bộ Bus bar + phụ kiện thay thế, sơ đồ nguyên lý, lắp đặt.</t>
  </si>
  <si>
    <t xml:space="preserve">Bàn thí nghiệm, thực hành
</t>
  </si>
  <si>
    <t>(Dài x Rộng x cao) 1200x750x750 mm
Kích thước kệ: 1200x200x900
Mặt bàn bằng tấm compart, dày 12,7mm độ bền cao, góc được bo tròn, chịu được tương tác cơ học khi va đập
Khung bàn: module sắt sơn tĩnh điện phủ epoxy, thép hộp 40x80x1,4mm. Đầu bịt nhựa PA chống hơi ẩm và hóa chất xâm nhập; Kệ bằng kính cường lực 8mm, lan can Inox SUS 304; Không có hộc để đồ</t>
  </si>
  <si>
    <t>Phòng thực hành ĐTVT-
 B204 cs2</t>
  </si>
  <si>
    <t>Core i7 12700/ Intel Q670/ 16GB/ 512GB SSD/ Intel UHD Graphics 770/ Windows 11 Pro</t>
  </si>
  <si>
    <t>10 Thay thế các phòng máy hiện có nhà A, 40 thành lập 01 phòng máy mới tại nhà A</t>
  </si>
  <si>
    <t xml:space="preserve">Máy chiếu và màn chiếu hoặc TV kết hợp bảng viết </t>
  </si>
  <si>
    <t xml:space="preserve">6 phòng máy tính </t>
  </si>
  <si>
    <t>Lắp điều hòa khu Ký túc xá CS2</t>
  </si>
  <si>
    <t>TTDV CS2</t>
  </si>
  <si>
    <t>QĐ
 CHỦ TRƯƠNG</t>
  </si>
  <si>
    <t>Trung tâm thí nghiệm 10T</t>
  </si>
  <si>
    <t xml:space="preserve">242/QĐ-ĐHĐL </t>
  </si>
  <si>
    <t>513/QĐ-ĐHDL</t>
  </si>
  <si>
    <t>2019-2021</t>
  </si>
  <si>
    <t>Nhà hiệu bộ mở rộng</t>
  </si>
  <si>
    <t>243/QĐ-ĐHĐL</t>
  </si>
  <si>
    <t>898/QĐ-ĐHDL</t>
  </si>
  <si>
    <t>2017-2020</t>
  </si>
  <si>
    <t xml:space="preserve">Ký túc xá sinh viên CS2 - Các hạng mục còn lại Khối 2 </t>
  </si>
  <si>
    <t>6492/QĐ-ĐHĐL ngày 11/12/2009</t>
  </si>
  <si>
    <t>821/QĐ-ĐHDL</t>
  </si>
  <si>
    <t>Sửa chữa nhà C - CS2</t>
  </si>
  <si>
    <t>463/QĐ-ĐHĐL</t>
  </si>
  <si>
    <t>571/QĐ-ĐHDL</t>
  </si>
  <si>
    <t>2017-2018</t>
  </si>
  <si>
    <t>Cải tạo, sửa chữa Sân thể thao - CS2</t>
  </si>
  <si>
    <t>516/QĐ-ĐHĐL</t>
  </si>
  <si>
    <t>240/QĐ-ĐHDL</t>
  </si>
  <si>
    <t>Vận chuyển và lắp dựng nhà N</t>
  </si>
  <si>
    <t>512/QĐ-ĐHĐL</t>
  </si>
  <si>
    <t>817/QĐ-ĐHDL</t>
  </si>
  <si>
    <t>Sửa chữa nhà B - CS2</t>
  </si>
  <si>
    <t>522/QĐ-ĐHĐL</t>
  </si>
  <si>
    <t>836/QĐ-ĐHDL</t>
  </si>
  <si>
    <t>Sửa chữa nhà E,G - CS2</t>
  </si>
  <si>
    <t>635/QĐ-ĐHĐL</t>
  </si>
  <si>
    <t>849/QĐ-ĐHDL</t>
  </si>
  <si>
    <t>2017-2019</t>
  </si>
  <si>
    <t>Tháo dỡ nhà Hội trường C</t>
  </si>
  <si>
    <t>853/QĐ-ĐHĐL</t>
  </si>
  <si>
    <t>190/QĐ-ĐHDL</t>
  </si>
  <si>
    <t>Tháo dỡ Xưởng thực hành E</t>
  </si>
  <si>
    <t>1011/QĐ-ĐHĐL</t>
  </si>
  <si>
    <t>189/QĐ-ĐHDL</t>
  </si>
  <si>
    <t xml:space="preserve">Sửa chữa Nhà Thư viện điên tử CS1 </t>
  </si>
  <si>
    <t>1202/QĐ-ĐHĐL</t>
  </si>
  <si>
    <t>1514/QĐ-ĐHDL</t>
  </si>
  <si>
    <t>Công trình Sửa chữa hệ thống PCCC nhà M,G</t>
  </si>
  <si>
    <t>481/QĐ-ĐHĐL</t>
  </si>
  <si>
    <t>1269/QĐ-ĐHDL</t>
  </si>
  <si>
    <t>Cải tạo, nâng cấp hệ thống nước thải sinh hoạt</t>
  </si>
  <si>
    <t>1601/QĐ-ĐHĐL</t>
  </si>
  <si>
    <t>1594/QĐ-ĐHDL</t>
  </si>
  <si>
    <t>Đường giao thông nội bộ</t>
  </si>
  <si>
    <t>1656/QĐ-ĐHĐL</t>
  </si>
  <si>
    <t>797/QĐ-ĐHDL</t>
  </si>
  <si>
    <t>Lắp đặt tuyến cáp điện dự phòng sự cố nhà KTX SV CS2</t>
  </si>
  <si>
    <t>2062/QĐ-ĐHĐL</t>
  </si>
  <si>
    <t>2120/QĐ-ĐHDL</t>
  </si>
  <si>
    <t>Nhà giặt là CS2</t>
  </si>
  <si>
    <t>704/QĐ-ĐHĐL</t>
  </si>
  <si>
    <t>918/QĐ-ĐHDL</t>
  </si>
  <si>
    <t>Xây lắp bể nước, đường ống và thiết bị PCCC - CS1</t>
  </si>
  <si>
    <t>269/QĐ-ĐHĐL</t>
  </si>
  <si>
    <t>74/QĐ-ĐHDL</t>
  </si>
  <si>
    <t>Sửa chữa nhà H1, H2, H3, H4</t>
  </si>
  <si>
    <t>334/QĐ-ĐHĐL</t>
  </si>
  <si>
    <t>724/QĐ-ĐHDL</t>
  </si>
  <si>
    <t>Công trình: Sửa chữa nhà K CS2</t>
  </si>
  <si>
    <t>1852/QĐ-ĐHĐL</t>
  </si>
  <si>
    <t>723/QĐ-ĐHDL</t>
  </si>
  <si>
    <t>Cải tạo, nâng cấp hệ thống nước sạch</t>
  </si>
  <si>
    <t>495/QĐ-ĐHĐL</t>
  </si>
  <si>
    <t>125/QĐ-ĐHDL</t>
  </si>
  <si>
    <t>Cải tạo sửa chữa các công trình CS1</t>
  </si>
  <si>
    <t>696/QĐ-ĐHĐL</t>
  </si>
  <si>
    <t>92/QĐ-ĐHDL</t>
  </si>
  <si>
    <t>Công trình Sửa chữa bổ sung nguồn điện 3 pha, sơn epoxy nền xưởng thực hành nhà E, G và đổ bê tông sân để máy thực hành ngoài trời CS2</t>
  </si>
  <si>
    <t>1387/QĐ-ĐHĐL</t>
  </si>
  <si>
    <t>1758/QĐ-ĐHDL</t>
  </si>
  <si>
    <t>Thư viện điện tử thông minh</t>
  </si>
  <si>
    <t>1475/QĐ-ĐHĐL</t>
  </si>
  <si>
    <t>98/QĐ-ĐHDL</t>
  </si>
  <si>
    <t>Cải tạo, sửa chữa nhà hành chính (Nhà A) CS2</t>
  </si>
  <si>
    <t>1791/QĐ-ĐHĐL</t>
  </si>
  <si>
    <t>02/QĐ-ĐHĐL</t>
  </si>
  <si>
    <t>Công trình Lắp đặt hệ thống camera giám sát CS2</t>
  </si>
  <si>
    <t>2063/QĐ-ĐHĐL</t>
  </si>
  <si>
    <t>2465/QĐ-ĐHDL</t>
  </si>
  <si>
    <t>Thi công trần thạch cao, cung cấp lắp đặt hệ thống điều hòa cục bộ và mua sắm trang thiết bị nội thất các phòng học CLC Nhà B1 CS1</t>
  </si>
  <si>
    <t>2074/QĐ-ĐHĐL</t>
  </si>
  <si>
    <t>07/QĐ-ĐHDL</t>
  </si>
  <si>
    <t>Cung cấp lắp đặt máy phát điện dự phòng</t>
  </si>
  <si>
    <t>2175/QĐ-ĐHĐL</t>
  </si>
  <si>
    <t>159/QĐ-ĐHDL</t>
  </si>
  <si>
    <t>Sửa chữa bổ sung cửa sắt sơn tĩnh điện và nguồn điện 3 pha nhà N - CS2</t>
  </si>
  <si>
    <t>1386/QĐ-ĐHĐL</t>
  </si>
  <si>
    <t>1757/QĐ-ĐHDL</t>
  </si>
  <si>
    <t>Cung cấp lắp đặt hệ thống camera nhà B1 CS1</t>
  </si>
  <si>
    <t>2311/QĐ-ĐHĐL</t>
  </si>
  <si>
    <t>381/QĐ-ĐHDL</t>
  </si>
  <si>
    <t>Cải tạo, nâng cấp mở rộng bếp ăn KTX CS2 (Nhà P)</t>
  </si>
  <si>
    <t>552/QĐ-ĐHĐL</t>
  </si>
  <si>
    <t>950/QĐ-ĐHDL</t>
  </si>
  <si>
    <t>Cải tạo, nâng cấp Nhà dịch vụ H5 trên cơ sở Nhà để xe số 1 - CS2</t>
  </si>
  <si>
    <t>554/QĐ-ĐHĐL</t>
  </si>
  <si>
    <t>1092/QĐ-ĐHDL</t>
  </si>
  <si>
    <t>Công trình: Cải tạo nâng cấp sân nhà K và Nhà để máy phát điện dự phòng sự cố CS2</t>
  </si>
  <si>
    <t>555/QĐ-ĐHĐL</t>
  </si>
  <si>
    <t>562/QĐ-ĐHDL</t>
  </si>
  <si>
    <t>Cấp nguồn điện, nước cho khu vực nhà A, nhà B1 và Bể nước PCCC CS1</t>
  </si>
  <si>
    <t>567/QĐ-ĐHĐL</t>
  </si>
  <si>
    <t>538/QĐ-ĐHDL</t>
  </si>
  <si>
    <t>Nội thất phòng học Nhà Trung tâm thí nghiệm</t>
  </si>
  <si>
    <t>849/QĐ-ĐHĐL</t>
  </si>
  <si>
    <t>1117/QĐ-ĐHĐL</t>
  </si>
  <si>
    <r>
      <t>TRƯ</t>
    </r>
    <r>
      <rPr>
        <b/>
        <u/>
        <sz val="13"/>
        <rFont val="Times New Roman"/>
        <family val="1"/>
      </rPr>
      <t>ỜNG ĐẠI HỌC ĐIỆN</t>
    </r>
    <r>
      <rPr>
        <b/>
        <sz val="13"/>
        <rFont val="Times New Roman"/>
        <family val="1"/>
      </rPr>
      <t xml:space="preserve"> LỰC</t>
    </r>
  </si>
  <si>
    <t>ĐVT: Triệu đồng</t>
  </si>
  <si>
    <t>Chỉ tiêu</t>
  </si>
  <si>
    <t>Kế hoạch 2024</t>
  </si>
  <si>
    <t>Phần thu</t>
  </si>
  <si>
    <t>Tổng thu học phí</t>
  </si>
  <si>
    <t>1.1</t>
  </si>
  <si>
    <t>Hệ SĐH đào tạo NCS, ThS</t>
  </si>
  <si>
    <t>1.2</t>
  </si>
  <si>
    <t>Hệ đào tạo đại học</t>
  </si>
  <si>
    <t>1.3</t>
  </si>
  <si>
    <t>Hệ vừa làm vừa học</t>
  </si>
  <si>
    <t>1.4</t>
  </si>
  <si>
    <t>Giảm trừ học phí do SV nghỉ học</t>
  </si>
  <si>
    <t>1.5</t>
  </si>
  <si>
    <t>Cấp bù miễn giảm</t>
  </si>
  <si>
    <t>1.6</t>
  </si>
  <si>
    <t>Học phí học lại, học kỳ phụ</t>
  </si>
  <si>
    <t>Kinh phí, lệ phí</t>
  </si>
  <si>
    <t>2.1</t>
  </si>
  <si>
    <t>Kinh phí đánh giá năng lực ngoại ngữ</t>
  </si>
  <si>
    <t>2.2</t>
  </si>
  <si>
    <t>Lệ phí tuyển sinh</t>
  </si>
  <si>
    <t>2.4</t>
  </si>
  <si>
    <t>Kinh phí học chuyển đổi SĐH</t>
  </si>
  <si>
    <t>2.5</t>
  </si>
  <si>
    <t>Thu tại các Đơn vị trực thuộc</t>
  </si>
  <si>
    <t>3.1</t>
  </si>
  <si>
    <t>Trung tâm đào tạo nâng cao ACT</t>
  </si>
  <si>
    <t>Trung tâm ART</t>
  </si>
  <si>
    <t>Thu khác tại Trường</t>
  </si>
  <si>
    <t>4.1</t>
  </si>
  <si>
    <t>Thu ăn nghỉ DVĐS CS1</t>
  </si>
  <si>
    <t>4.2</t>
  </si>
  <si>
    <t>Thu dịch vụ ANQP CS2</t>
  </si>
  <si>
    <t>4.3</t>
  </si>
  <si>
    <t>Hao mòn TSCĐ</t>
  </si>
  <si>
    <t>4.4</t>
  </si>
  <si>
    <t>Lãi tiền gửi có kỳ hạn</t>
  </si>
  <si>
    <t>4.5</t>
  </si>
  <si>
    <t>Trông xe</t>
  </si>
  <si>
    <t>Ngân sách nhà nước cấp: Miễn giảm học phí, LHS Lào, Đề tài</t>
  </si>
  <si>
    <t>Phần chi</t>
  </si>
  <si>
    <t>Ngân sách nhà nước cấp:</t>
  </si>
  <si>
    <t>Ngân sách nhà nước cấp: Trung tâm đào tạo về sử dụng năng lượng tiết kiệm và hiệu quả Miền Bắc</t>
  </si>
  <si>
    <t>Ngân sách nhà nước cấp: Đề tài khoa học</t>
  </si>
  <si>
    <t>Chi từ nguồn thu học phí, lệ phí</t>
  </si>
  <si>
    <t>Chi cho người lao động</t>
  </si>
  <si>
    <t>Chi lương theo hệ số (Kỳ 1)</t>
  </si>
  <si>
    <t>BHXH, BHYT, KPCĐ, BHTN</t>
  </si>
  <si>
    <t>Chi ăn trưa</t>
  </si>
  <si>
    <t>Mua sắm, sửa chữa thường xuyên tài sản</t>
  </si>
  <si>
    <t>2.3</t>
  </si>
  <si>
    <t>Chi hoạt động nghiệp vụ chuyên môn</t>
  </si>
  <si>
    <t>Chi hoạt động thường xuyên: Điện nước, xăng dầu, thông tin tuyên truyền, liên lạc</t>
  </si>
  <si>
    <t>Đào tạo bồi dưỡng</t>
  </si>
  <si>
    <t>2.6</t>
  </si>
  <si>
    <t>Nghiên cứu khoa học</t>
  </si>
  <si>
    <t>2.7</t>
  </si>
  <si>
    <t>2.8</t>
  </si>
  <si>
    <t>Chi thù lao, hoạt động Hội đồng trường</t>
  </si>
  <si>
    <t>2.9</t>
  </si>
  <si>
    <t>Chi hỗ trợ hoạt động Đảng, công đoàn, đoàn thể,…</t>
  </si>
  <si>
    <t>2.10</t>
  </si>
  <si>
    <t>Chi khác</t>
  </si>
  <si>
    <t>Chi tại các Đơn vị trực thuộc</t>
  </si>
  <si>
    <t>Trung tâm đào tạo nâng cao</t>
  </si>
  <si>
    <t>3.2</t>
  </si>
  <si>
    <t>Chi khác tại trường</t>
  </si>
  <si>
    <t>Chi nộp thuế vào NSNN</t>
  </si>
  <si>
    <t>Chi dịch vụ ANQP CS2</t>
  </si>
  <si>
    <t>Hao mòn, khấu hao TSCĐ</t>
  </si>
  <si>
    <t>4.6</t>
  </si>
  <si>
    <t>Chi phí chuyển tiền</t>
  </si>
  <si>
    <t>4.7</t>
  </si>
  <si>
    <t>4.8</t>
  </si>
  <si>
    <t>Các khoản khác</t>
  </si>
  <si>
    <t>Chênh lệch thu - chi</t>
  </si>
  <si>
    <t>IV</t>
  </si>
  <si>
    <t>Chuyển quỹ năm 2023 sang năm 2024</t>
  </si>
  <si>
    <t>Chưa bao gồm quỹ của Trung tâm ACT năm 2023</t>
  </si>
  <si>
    <t>Quỹ khen thưởng, Phúc lợi</t>
  </si>
  <si>
    <t>Quỹ phát triển HĐSN</t>
  </si>
  <si>
    <t>Quỹ bổ sung thu nhập (Tiền lương  tăng thêm Kỳ 2, quyết toán giờ giảng….)</t>
  </si>
  <si>
    <t>Quỹ  phát triển khoa học và công nghệ</t>
  </si>
  <si>
    <t xml:space="preserve"> Trích quỹ hỗ trợ sinh viên</t>
  </si>
  <si>
    <t>V</t>
  </si>
  <si>
    <t>Trích các quỹ</t>
  </si>
  <si>
    <t xml:space="preserve">Quỹ bổ sung thu nhập </t>
  </si>
  <si>
    <t>Lãi tiền gửi trừ thuế phí liên quan</t>
  </si>
  <si>
    <t>VI</t>
  </si>
  <si>
    <t>Sử dụng các Quỹ</t>
  </si>
  <si>
    <t xml:space="preserve"> </t>
  </si>
  <si>
    <t>VII</t>
  </si>
  <si>
    <t>Dự kiến quỹ còn lại cuối năm 2024</t>
  </si>
  <si>
    <t xml:space="preserve">Quỹ PTHĐSN </t>
  </si>
  <si>
    <t>Quỹ hỗ trợ sinh viên</t>
  </si>
  <si>
    <t>Đinh Văn Châu</t>
  </si>
  <si>
    <t>Mai Thanh Tú</t>
  </si>
  <si>
    <t>Nguyễn Đàm Minh Thông</t>
  </si>
  <si>
    <t>Hà Nội, ngày ...... tháng ......... năm 2023</t>
  </si>
  <si>
    <t>CỘNG:</t>
  </si>
  <si>
    <t>………</t>
  </si>
  <si>
    <t>Khối lượng giảng dạy vượt định mức</t>
  </si>
  <si>
    <t>Chi đào tạo bồi dưỡng</t>
  </si>
  <si>
    <t>Chi tiền nghỉ mát</t>
  </si>
  <si>
    <t>Thưởng đột xuất</t>
  </si>
  <si>
    <t>Thưởng lễ tết (600 người)</t>
  </si>
  <si>
    <t xml:space="preserve">Chi khen thưởng phúc lợi </t>
  </si>
  <si>
    <t>Hỗ trợ tuyển dụng</t>
  </si>
  <si>
    <t>Chuyển chức danh nghề nghiệp và thi thăng hạng chức danh nghề nghiệp</t>
  </si>
  <si>
    <t>Trang phục (600 người)</t>
  </si>
  <si>
    <t>Tiền ăn ca (600 người)</t>
  </si>
  <si>
    <t>Chi Khác</t>
  </si>
  <si>
    <t>Chi lương tháng 13 bằng 1 tháng lương đầy đủ</t>
  </si>
  <si>
    <r>
      <rPr>
        <sz val="12"/>
        <color indexed="10"/>
        <rFont val="Times New Roman"/>
        <family val="1"/>
      </rPr>
      <t>Hỗ trợ</t>
    </r>
    <r>
      <rPr>
        <sz val="12"/>
        <rFont val="Times New Roman"/>
        <family val="1"/>
      </rPr>
      <t xml:space="preserve"> cán bộ phục vụ đào tạo</t>
    </r>
  </si>
  <si>
    <t>Chuyển Nghiên cứu khoa học</t>
  </si>
  <si>
    <t>Điểm từ 0,45 điểm trở lên (125 người)</t>
  </si>
  <si>
    <t>-</t>
  </si>
  <si>
    <t>Điểm từ 0,45</t>
  </si>
  <si>
    <t xml:space="preserve">Phụ cấp thu hút: GS,PGS TS,TS </t>
  </si>
  <si>
    <t>Phụ cấp CBQL (76 người)</t>
  </si>
  <si>
    <t xml:space="preserve">Lương kỳ 2  </t>
  </si>
  <si>
    <t>Chi thu nhập bổ sung tăng thêm</t>
  </si>
  <si>
    <t>Các khoản nộp BHXH, BHYT, BHTN, KPCĐ</t>
  </si>
  <si>
    <t>Chi phụ cấp Hội đồng trường</t>
  </si>
  <si>
    <t>Lương hợp đồng 1 năm và thời vụ</t>
  </si>
  <si>
    <t>Lương theo hợp đồng 68</t>
  </si>
  <si>
    <t>Lương tập sự</t>
  </si>
  <si>
    <t>Phụ cấp thâm niên nhà giáo</t>
  </si>
  <si>
    <t>Phụ cấp ưu đãi đối với nhà giáo</t>
  </si>
  <si>
    <t>Phụ cấp trách nhiệm</t>
  </si>
  <si>
    <t>Phụ cấp chức vụ</t>
  </si>
  <si>
    <t>Lương ngạch bậc</t>
  </si>
  <si>
    <t>Lương kỳ 1</t>
  </si>
  <si>
    <t>Kinh phí</t>
  </si>
  <si>
    <t>BẢNG ĐĂNG KÝ KẾ HOẠCH TIỀN LƯƠNG, TIỀN CÔNG
CÁC KHOẢN CHO NGƯỜI LAO ĐỘNG NĂM 2024</t>
  </si>
  <si>
    <t>PHÒNG KÊ HOẠCH TÀI CHÍNH</t>
  </si>
  <si>
    <t>Mẫu 02</t>
  </si>
  <si>
    <t xml:space="preserve"> KẾ HOẠCH TÀI CHÍNH NĂM 2024</t>
  </si>
  <si>
    <t>Mua sắm thiết bị văn phòng</t>
  </si>
  <si>
    <t>Mua sắm thiết bị phục vụ đào tạo</t>
  </si>
  <si>
    <t>Mua sắm thiết bị thực hành thí nghiệm</t>
  </si>
  <si>
    <t>Cải tạo, sửa chữa cơ sở vật chất</t>
  </si>
  <si>
    <t>Đầu tư 06 phòng máy tính</t>
  </si>
  <si>
    <t>Chi phí tư vấn</t>
  </si>
  <si>
    <t xml:space="preserve">Các dự án đầu tư dở dang và các dự án chờ quyết toán </t>
  </si>
  <si>
    <t>Không gian sáng tạo và kết nối tri thức</t>
  </si>
  <si>
    <t>Kinh phí đào tạo ngắn hạn…..</t>
  </si>
  <si>
    <t>Đào tạo ngắn hạn…...</t>
  </si>
  <si>
    <t>Chi phục vụ ăn, nghỉ DVĐS CS1</t>
  </si>
  <si>
    <t>Chi trang phục, đồng phục</t>
  </si>
  <si>
    <t>Quỹ PTHĐSN hình thành tài sản: 151.351 trđ</t>
  </si>
  <si>
    <t>5% học phí</t>
  </si>
  <si>
    <t>Hà Nội, Ngày….....tháng …. năm 2024</t>
  </si>
  <si>
    <t>HIỆU TRƯỞNG</t>
  </si>
  <si>
    <t>Thực hiện 2023</t>
  </si>
  <si>
    <t>(Số liệu thực hiện 2023 chưa bao gồm Trung tâm Đào tạo nâng cao do Trung tâm chưa có quyết toán)</t>
  </si>
  <si>
    <t>Các khoản thu khác</t>
  </si>
  <si>
    <t>Năm 2024 chuyển sang chi từ Quỹ khoa học</t>
  </si>
  <si>
    <t>Lương thu hút, bài báo, đề tài, tạp chí, hội thảo….</t>
  </si>
  <si>
    <t>Chi hoạt động Trung tâm hỗ trợ VL &amp; KN</t>
  </si>
  <si>
    <t>ĐVT: triệu đồng</t>
  </si>
  <si>
    <t>Kinh phí đào tạo ngắn hạn</t>
  </si>
  <si>
    <r>
      <t xml:space="preserve">Ngân sách nhà nước cấp: </t>
    </r>
    <r>
      <rPr>
        <sz val="12"/>
        <rFont val="Times New Roman"/>
        <family val="1"/>
      </rPr>
      <t>Trung tâm đào tạo về sử dụng năng lượng tiết kiệm và hiệu quả Miền Bắc</t>
    </r>
  </si>
  <si>
    <r>
      <t xml:space="preserve">Ngân sách nhà nước cấp: </t>
    </r>
    <r>
      <rPr>
        <sz val="12"/>
        <rFont val="Times New Roman"/>
        <family val="1"/>
      </rPr>
      <t>Đề tài khoa học</t>
    </r>
  </si>
  <si>
    <t>Chi thường xuyên</t>
  </si>
  <si>
    <t>Chi từ nguồn thu hợp pháp của Nhà trường</t>
  </si>
  <si>
    <t>Chi thanh toán cho cá nhân</t>
  </si>
  <si>
    <t>2.1.1</t>
  </si>
  <si>
    <t>Chi trang phục</t>
  </si>
  <si>
    <t>2.1.2</t>
  </si>
  <si>
    <t>Chi từ nguồn quỹ bổ sung thu nhập</t>
  </si>
  <si>
    <t>Chi hoạt động chuyên môn</t>
  </si>
  <si>
    <t>Chi các công tác liên quan đến tuyên truyền tuyển sinh…</t>
  </si>
  <si>
    <t>Chi cho công tác cập nhật đánh giá chương trình đào tạo (Đã thực hiện năm 2023 nhưng chưa thanh toán)</t>
  </si>
  <si>
    <t>Chi cho hoạt động tự đánh giá và đánh giá ngoài chương trình đào tạo (đã thực hiện năm 2023 nhưng chưa thanh toán)</t>
  </si>
  <si>
    <t>Hoạt động đảm bảo chất lương: Tự đánh giá, đánh giá ngoài, tập huấn, kiểm định chất lượng….</t>
  </si>
  <si>
    <t>Hoạt động khảo thí: Công tác xây dựng ngân hàng đề thi</t>
  </si>
  <si>
    <t>Chi thuê giảng viên thỉnh giảng, quản lý</t>
  </si>
  <si>
    <t>Đón tiếp sinh viên nhập học, chào tân sinh viên, tổ chức tuần sinh hoạt công dân, tốt nghiệp cho sinh sinh viên,..:</t>
  </si>
  <si>
    <t>Chi thực tập môn học, thực tập tốt nghiệp cơ sở ngoài trường</t>
  </si>
  <si>
    <t>Chi liên kết đào tạo</t>
  </si>
  <si>
    <t>Chi hoạt động chuyên môn khác</t>
  </si>
  <si>
    <t>Chi mua sắm sửa chữa thường xuyên</t>
  </si>
  <si>
    <t>Chi mua vật tư thí nghiệm thực hành các khoa, CCDC</t>
  </si>
  <si>
    <t>Chi sửa chữa thường xuyên</t>
  </si>
  <si>
    <t>Chi về hoạt động thường xuyên</t>
  </si>
  <si>
    <t>Chi điện nước , xăng dầu</t>
  </si>
  <si>
    <t>Các dịch vụ tư vấn, phi tư vấn</t>
  </si>
  <si>
    <t>Dịch vụ kiểm toán, thẩm định giá</t>
  </si>
  <si>
    <t>Chi vệ sinh môi trường</t>
  </si>
  <si>
    <t>Chi công tác y tế</t>
  </si>
  <si>
    <t>Dịch vụ lưu trữ nguồn bức xạ, phóng xạ</t>
  </si>
  <si>
    <t>Thuê vận hành nhà 10 tầng</t>
  </si>
  <si>
    <t>HCQT đã đấu thầu và ký Hợp đồng đến 31/7/2024. 159.326.000đ/30 ngày</t>
  </si>
  <si>
    <t>Vận hành nhà 10 tầng</t>
  </si>
  <si>
    <t>Xin duyệt vốn để phục vụ đấu thầu ký Hợp đồng  đến 31/7/2025</t>
  </si>
  <si>
    <t>Thuê dịch vụ trông giữ xe tại CS1</t>
  </si>
  <si>
    <t>HCQT đã đấu thầu và ký Hợp đồng đến 31/7/2024. 122.040.000 đ/30 ngày</t>
  </si>
  <si>
    <t>Xin duyệt vốn để phục vụ đấu thầu ký Hợp đồng  đến 16/8/2025</t>
  </si>
  <si>
    <t>Dịch vụ bảo vệ trường học tại CS1</t>
  </si>
  <si>
    <t>Chi văn phòng phẩm, thiệp chúc tết</t>
  </si>
  <si>
    <t>Tập huấn công tác PCCC</t>
  </si>
  <si>
    <t>Hoạt động truyền thông, quảng cáo,…</t>
  </si>
  <si>
    <t>In áo bằng tốt nghiệp</t>
  </si>
  <si>
    <t>Các loại bảo hiểm, phí đường các xe ô tô</t>
  </si>
  <si>
    <t>Sách tài liệu, quốc văn, ngoại văn</t>
  </si>
  <si>
    <t>Dự phòng chi khác</t>
  </si>
  <si>
    <t>Phụ cấp thu hút bài báo đối với GS.PGS TS.TS điểm trên 0.45: 9.637 triệu đồng</t>
  </si>
  <si>
    <t>Chi hội thảo Quốc tế VJISAP 2024</t>
  </si>
  <si>
    <t>Chi ăn nghỉ DVCS1</t>
  </si>
  <si>
    <t>Chi về DV ANQP Cơ sở 2</t>
  </si>
  <si>
    <t>Chi hỗ trợ hoạt động công đoàn, đoàn thể,…</t>
  </si>
  <si>
    <t>0,6% quỹ lương</t>
  </si>
  <si>
    <t>2.11</t>
  </si>
  <si>
    <t>Chi phụ cấp , hoạt động Hội đồng trường</t>
  </si>
  <si>
    <t>2.12</t>
  </si>
  <si>
    <t>Các khoản chi dự phòng khác</t>
  </si>
  <si>
    <t>2.13</t>
  </si>
  <si>
    <t>2.14</t>
  </si>
  <si>
    <t>Chi hao mòn, khấu hao TSCĐ</t>
  </si>
  <si>
    <t>2.15</t>
  </si>
  <si>
    <t>Chi hoạt động của Trung tâm hỗ trợ việc làm và khởi nghiệp</t>
  </si>
  <si>
    <t>2.16</t>
  </si>
  <si>
    <t>Chi đào tạo ngắn hạn TTĐTTX</t>
  </si>
  <si>
    <t>Chi tại các đơn vị trực thuộc</t>
  </si>
  <si>
    <t>Chênh lệch thu-chi</t>
  </si>
  <si>
    <t>Kế hoạch 2023</t>
  </si>
  <si>
    <t>Thu khác</t>
  </si>
  <si>
    <t>Chi đào tạo bồi dưỡng, chi khác</t>
  </si>
  <si>
    <t>Chi thưởng lễ tết</t>
  </si>
  <si>
    <t>Chi thưởng đột xuất</t>
  </si>
  <si>
    <t>Các khoản trợ cấp hỗ trợ khác</t>
  </si>
  <si>
    <t>Chi hoạt động khoa học khác</t>
  </si>
  <si>
    <t>Học bổng, Hỗ trợ cán bộ lớp, cán bộ đoàn, …</t>
  </si>
  <si>
    <t>Học bổng, Hỗ trợ cán bộ lớp, cán bộ đoàn, hỗ trợ xe đưa đón, trang phục học quốc phòng an ninh,…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</si>
  <si>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</si>
  <si>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Dự phòng thay đổi quy chế tiền lương, quy chế chi tiêu nội bộ trong năm, thay đổi  nền lương cơ bản sau 1/7/2024</t>
  </si>
  <si>
    <t>Thuê đường truyền Internet Leased Line</t>
  </si>
  <si>
    <t>Xin duyệt vốn để phục vụ đấu thầu ký Hợp đồng  đến tháng 11/2025,không tính vào vốn chi thường xuyên năm 2024</t>
  </si>
  <si>
    <t>Gia hạn bản quyền hệ điều hành. Database, Vcenter (Quản lý hệ thống máy chủ ảo)</t>
  </si>
  <si>
    <t>Xin duyệt vốn để thực hiện gia hạn  bản quyền hệ điều hành</t>
  </si>
  <si>
    <t>PHỤ LỤC 2.2.8. BẢNG TỔNG HỢP CÁC DỰ ÁN ĐÃ ĐƯA VÀO SỬ DỤNG CHỜ QUYẾT TOÁN</t>
  </si>
  <si>
    <t>PHỤ LỤC 2.2.7. KẾ HOẠCH VỐN CÁC DỰ ÁN ĐANG TRIỂN KHAI 2024</t>
  </si>
  <si>
    <t>A</t>
  </si>
  <si>
    <t>Dự án triển khai dở dang</t>
  </si>
  <si>
    <t>B</t>
  </si>
  <si>
    <t>Dự án đang triển khai bố trí vốn quyết toán</t>
  </si>
  <si>
    <t>Quỹ phát triển hoạt động sự nghiệp hình thành tài sản: 151.351 trđ</t>
  </si>
  <si>
    <t>Chi hoạt động Đảng (0,6% Quỹ lương+hỗ trợ)</t>
  </si>
  <si>
    <t xml:space="preserve"> Để nâng tốc độ và khả năng an toàn ( Thuê đường truyền Internet Leased Line: Tối thiểu 500 Mbps trong nước, 10Mbps quốc tế
- Có tối thiểu 8 địa chỉ IP tĩnh
- Thời gian: 12 tháng</t>
  </si>
  <si>
    <t>Công tác tổ chức thi đánh giá năng lực Tiếng Anh, hỗ trợ tuyển sinh</t>
  </si>
  <si>
    <t>Chi mua sắm thiết bị, phần mềm phục vụ công tác đào tạo, thực hành thí nghiệm</t>
  </si>
  <si>
    <t>Mở ngành mới</t>
  </si>
  <si>
    <t>BỘ CÔNG THƯƠNG</t>
  </si>
  <si>
    <r>
      <t>TRƯỜN</t>
    </r>
    <r>
      <rPr>
        <b/>
        <u/>
        <sz val="13"/>
        <rFont val="Times New Roman"/>
        <family val="1"/>
      </rPr>
      <t>G ĐẠI HỌC ĐIỆ</t>
    </r>
    <r>
      <rPr>
        <b/>
        <sz val="13"/>
        <rFont val="Times New Roman"/>
        <family val="1"/>
      </rPr>
      <t>N LỰC</t>
    </r>
  </si>
  <si>
    <t>KẾ HOẠCH THU TỪ HOẠT ĐỘNG ĐÀO TẠO 2024</t>
  </si>
  <si>
    <t>Số lượng
SV, HV</t>
  </si>
  <si>
    <t>Kinh phí
đào tạo</t>
  </si>
  <si>
    <t>Tổng thu
(Đồng)</t>
  </si>
  <si>
    <t>TB Khối KT + Kỹ thuật</t>
  </si>
  <si>
    <t>HỌC PHÍ</t>
  </si>
  <si>
    <t>Đào tạo sau đại học</t>
  </si>
  <si>
    <t>Nghiên cứu sinh</t>
  </si>
  <si>
    <t>Thạc sĩ</t>
  </si>
  <si>
    <t>Đào tạo Đại học chính quy</t>
  </si>
  <si>
    <t>Khối ngành kỹ thuật</t>
  </si>
  <si>
    <t>Khóa D15 (01 học kỳ cuối khóa)</t>
  </si>
  <si>
    <t>Khối kỹ thuật</t>
  </si>
  <si>
    <t>ĐG mức năm cũ</t>
  </si>
  <si>
    <t>Khóa D16, D17, D18</t>
  </si>
  <si>
    <t>Tổng mức cũ và mức 2024</t>
  </si>
  <si>
    <t xml:space="preserve">Khóa D19 </t>
  </si>
  <si>
    <t>TB mức cũ và mức mới 2024</t>
  </si>
  <si>
    <t>Khối ngành kinh tế</t>
  </si>
  <si>
    <t>Khóa D16</t>
  </si>
  <si>
    <t>Khối kinh tế</t>
  </si>
  <si>
    <t>Khóa D17 và D18</t>
  </si>
  <si>
    <t>Cấp bù miễn giảm (dự kiến 241 sinh viên)</t>
  </si>
  <si>
    <t>Đào tạo đại học vừa làm vừa học</t>
  </si>
  <si>
    <t>Đào tạo thu 100%</t>
  </si>
  <si>
    <t>Đào tạo thu 30%</t>
  </si>
  <si>
    <t>KINH PHÍ, LỆ PHÍ</t>
  </si>
  <si>
    <t>Kinh phí đánh giá năng lực tiếng anh</t>
  </si>
  <si>
    <t>Kinh phí tuyển sinh</t>
  </si>
  <si>
    <t>Đại học chính quy (xét tuyển HB)</t>
  </si>
  <si>
    <t>Đại học chính quy (nguyện vọng)</t>
  </si>
  <si>
    <t>Đại học vừa học vừa làm</t>
  </si>
  <si>
    <t>Sau đại học</t>
  </si>
  <si>
    <t>ĐÀO TẠO NGẮN HẠN</t>
  </si>
  <si>
    <t>TỔNG I+II+III</t>
  </si>
  <si>
    <t>Nguyễn Thị Thủy</t>
  </si>
  <si>
    <t>Kế hoạch 2024 đã lập</t>
  </si>
  <si>
    <t>Kế hoạch đã lập</t>
  </si>
  <si>
    <t>Kế hoạch điều chỉnh</t>
  </si>
  <si>
    <t xml:space="preserve">Giảm trừ do sinh viên chính quy thôi học, không ĐKMH dự kiến 5% </t>
  </si>
  <si>
    <t>Chi công tác tuyển sinh 2021,2022</t>
  </si>
  <si>
    <t>Thực hiện 2024</t>
  </si>
  <si>
    <t>Tiền trông xe</t>
  </si>
  <si>
    <t>Trung tâm dịch vụ cơ sở 2</t>
  </si>
  <si>
    <t>Phòng Qản trị -Dịch vụ</t>
  </si>
  <si>
    <t>Công ty TNHH LG Display Việt Nam Hải Phòng</t>
  </si>
  <si>
    <t>Công ty TNHH Samsung Electro- Mechanics Việt Nam(SEMV)</t>
  </si>
  <si>
    <t>Chi phí tiền lương, tiền công, phụ cấp lương</t>
  </si>
  <si>
    <t>Chi các khoản đóng góp: BHXH, BHYT, KPCĐ, BHTN</t>
  </si>
  <si>
    <t>Chi thanh toán dịch vụ công cộng: Điện, nước, nhiên liệu, vệ sinh, Môi trường, bảo hiểm</t>
  </si>
  <si>
    <t>Chi văn phòng phẩm</t>
  </si>
  <si>
    <t>Chi thông tin, tuyên truyền, liên lạc: Điện thoại, CPN, Quảng cáo, internet, sách báo tạp chí</t>
  </si>
  <si>
    <t>Chi hội nghị, đoàn ra, đoàn vào</t>
  </si>
  <si>
    <t>Chi công tác phí: Tàu xe, máy bay, phòng nghỉ, phụ cấp công tác phí</t>
  </si>
  <si>
    <t>Chi phí thuê mướn: Chuyên gia, giảng viên, tư vấn....</t>
  </si>
  <si>
    <t>Chi ăn ca</t>
  </si>
  <si>
    <t>Chi sửa chữa tài sản, bảo dưỡng, bảo trì tài sản</t>
  </si>
  <si>
    <t>Chi đồng phục, trang phục</t>
  </si>
  <si>
    <t>Chi đào tạo, bồi dưỡng</t>
  </si>
  <si>
    <t>Chi nghiên cứu khoa học, tạp chí khoa học</t>
  </si>
  <si>
    <t>Chi phí nghiệp vụ chuyên môn</t>
  </si>
  <si>
    <t>Chi làm ngoài giờ</t>
  </si>
  <si>
    <t>Chi tiếp khách</t>
  </si>
  <si>
    <t>Chi y tế</t>
  </si>
  <si>
    <t>Chi phí khấu hao TSCĐ mua trước năm 2018 (CN KC 366 sang 511)</t>
  </si>
  <si>
    <t>Chi phí khấu hao TSCĐ mua từ năm 2018 về sau (CN KC 43142 sang 43141)</t>
  </si>
  <si>
    <t>Chi phụ cấp, hoạt động Hội đồng trường</t>
  </si>
  <si>
    <t>Chi phí khấu hao TSCĐ chung (NSNN cấp và trường chi)</t>
  </si>
  <si>
    <t>Chi phí Liên kết Đào tạo</t>
  </si>
  <si>
    <t>Chi hoạt động Đoàn thanh niên</t>
  </si>
  <si>
    <t>Chi hoạt động trung tâm quan hệ Danh nghiệp</t>
  </si>
  <si>
    <t>Trích trước chi phí thuê mướn: Chuyên gia, giảng viên, tư vấn….</t>
  </si>
  <si>
    <t>Trung tâm dịch vụ đời sống</t>
  </si>
  <si>
    <t>Công đoàn trường Đại học Điện lực</t>
  </si>
  <si>
    <t>Điều chỉnh giảm giá vốn chi nghiên cứu khoa học năm 2023</t>
  </si>
  <si>
    <t>Hạch toán ghi âm bút toán kết chuyển chi phí nghiên cứu khoa học  năm 2023</t>
  </si>
  <si>
    <t>Thặng dư của Trường TCKTKT Hồng Lam</t>
  </si>
  <si>
    <t>Tỷ lệ (TH/KH)</t>
  </si>
  <si>
    <t>PHỤ LỤC KẾT QUẢ THỰC HIỆN KẾ HOẠCH TÀI CHÍNH 2024</t>
  </si>
  <si>
    <t xml:space="preserve">Kế hoạch </t>
  </si>
  <si>
    <t xml:space="preserve">Thực hiện </t>
  </si>
  <si>
    <r>
      <t>Ngân sách nhà nước cấp:</t>
    </r>
    <r>
      <rPr>
        <sz val="12"/>
        <rFont val="Times New Roman"/>
        <family val="1"/>
      </rPr>
      <t xml:space="preserve"> Miễn giảm học phí, LHS Lào, Đề tài</t>
    </r>
  </si>
  <si>
    <t xml:space="preserve">Phụ cấp thu hút bài báo đối với GS.PGS TS.TS điểm trên 0.45: </t>
  </si>
  <si>
    <r>
      <t>Ngân sách nhà nước khác</t>
    </r>
    <r>
      <rPr>
        <sz val="12"/>
        <rFont val="Times New Roman"/>
        <family val="1"/>
      </rPr>
      <t xml:space="preserve"> (điều chỉnh hao mòn)</t>
    </r>
  </si>
  <si>
    <t>Ngân sách nhà nước khác (điều chỉnh hao mòn)</t>
  </si>
  <si>
    <t>Trích các quỹ, bổ sung khác</t>
  </si>
  <si>
    <t>I. Tình hình tài chính của cơ sở giáo dục</t>
  </si>
  <si>
    <t>Nguồn kinh phí NSNN cấp</t>
  </si>
  <si>
    <t>Năm 2024</t>
  </si>
  <si>
    <t>Học phí, lệ phí</t>
  </si>
  <si>
    <t>Nguồn thu khác</t>
  </si>
  <si>
    <t>Các khoản thu khác từ người học</t>
  </si>
  <si>
    <t>Chi tiền lương và thu nhập</t>
  </si>
  <si>
    <t>Chi cơ sở vật chất và dịch vụ</t>
  </si>
  <si>
    <t>Chi hỗ trợ người học (chi từ Quỹ hỗ trợ sinh viên)</t>
  </si>
  <si>
    <t>Chi từ Quỹ khen thưởng phúc lợi</t>
  </si>
  <si>
    <t>Chi hoạt động NCKH (trích từ Quỹ phát triển khoa học và công nghệ)</t>
  </si>
  <si>
    <t>Chi sửa chữa cơ sở vật chất (Chi từ quỹ phát triền HĐDDSN</t>
  </si>
  <si>
    <t>II. Số dư các quỹ theo quy định</t>
  </si>
  <si>
    <t>Quỹ khen thưởng, phuc lợi</t>
  </si>
  <si>
    <t>Quỹ bổ sung thu nhập</t>
  </si>
  <si>
    <t>Quỹ phát triền KHCN</t>
  </si>
  <si>
    <t>Quỹ PTHĐSN</t>
  </si>
  <si>
    <t>Chi thu nhập tăng thêm(Chi từ quỹ bổ sung thu nhập)</t>
  </si>
  <si>
    <t>BÁO CÁO CÔNG KHAI THU CHI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</si>
</sst>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\ _₫_-;\-* #,##0\ _₫_-;_-* &quot;-&quot;??\ _₫_-;_-@"/>
    <numFmt numFmtId="168" formatCode="_-* #,##0\ _₫_-;\-* #,##0\ _₫_-;_-* &quot;-&quot;??\ _₫_-;_-@_-"/>
    <numFmt numFmtId="169" formatCode="0.0%"/>
    <numFmt numFmtId="170" formatCode="#,##0;[Red]#,##0"/>
    <numFmt numFmtId="171" formatCode="###\ ###\ ###\ ###\ ###\ ##0;\-###\ ###\ ###\ ###\ ###\ ##0;#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3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  <charset val="163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4"/>
      <name val="Times New Roman"/>
      <family val="1"/>
      <charset val="1"/>
    </font>
    <font>
      <sz val="11"/>
      <color theme="1"/>
      <name val="Times New Roman"/>
      <family val="1"/>
    </font>
    <font>
      <i/>
      <sz val="12"/>
      <name val="Times New Roman"/>
      <family val="1"/>
      <charset val="163"/>
    </font>
    <font>
      <i/>
      <sz val="13"/>
      <name val="Times New Roman"/>
      <family val="1"/>
    </font>
    <font>
      <b/>
      <sz val="14"/>
      <name val="Times New Roman"/>
      <family val="1"/>
      <charset val="163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indexed="8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indexed="8"/>
      <name val="Calibri"/>
      <family val="2"/>
      <charset val="163"/>
    </font>
    <font>
      <b/>
      <u/>
      <sz val="13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0"/>
      <name val="Times New Roman"/>
      <family val="1"/>
    </font>
    <font>
      <sz val="12"/>
      <color indexed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3"/>
      <name val="Times New Roman"/>
      <family val="1"/>
      <charset val="163"/>
    </font>
    <font>
      <b/>
      <sz val="13"/>
      <color theme="0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indexed="8"/>
      <name val="Arial"/>
      <family val="2"/>
    </font>
    <font>
      <sz val="12"/>
      <name val="Times New Roman"/>
      <family val="1"/>
    </font>
    <font>
      <i/>
      <sz val="13"/>
      <color theme="1"/>
      <name val="Times New Roman"/>
      <family val="1"/>
    </font>
    <font>
      <sz val="13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/>
    <xf numFmtId="0" fontId="4" fillId="0" borderId="0"/>
    <xf numFmtId="165" fontId="2" fillId="0" borderId="0" applyFont="0" applyFill="0" applyBorder="0" applyAlignment="0" applyProtection="0"/>
    <xf numFmtId="0" fontId="2" fillId="0" borderId="0"/>
    <xf numFmtId="0" fontId="1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6" fillId="0" borderId="0"/>
    <xf numFmtId="0" fontId="32" fillId="0" borderId="0"/>
    <xf numFmtId="9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64" fontId="42" fillId="0" borderId="0" applyFont="0" applyFill="0" applyBorder="0" applyAlignment="0" applyProtection="0"/>
    <xf numFmtId="0" fontId="1" fillId="0" borderId="0"/>
    <xf numFmtId="0" fontId="49" fillId="0" borderId="0"/>
    <xf numFmtId="0" fontId="50" fillId="0" borderId="0"/>
    <xf numFmtId="165" fontId="50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749">
    <xf numFmtId="0" fontId="0" fillId="0" borderId="0" xfId="0"/>
    <xf numFmtId="0" fontId="4" fillId="0" borderId="0" xfId="3"/>
    <xf numFmtId="0" fontId="9" fillId="0" borderId="0" xfId="3" applyFont="1" applyAlignment="1">
      <alignment horizontal="center" vertical="center"/>
    </xf>
    <xf numFmtId="0" fontId="9" fillId="0" borderId="0" xfId="3" applyFont="1"/>
    <xf numFmtId="0" fontId="9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0" xfId="3" applyAlignment="1">
      <alignment horizontal="center"/>
    </xf>
    <xf numFmtId="0" fontId="2" fillId="0" borderId="0" xfId="5" applyAlignment="1">
      <alignment vertical="center"/>
    </xf>
    <xf numFmtId="0" fontId="15" fillId="0" borderId="0" xfId="6"/>
    <xf numFmtId="0" fontId="3" fillId="0" borderId="3" xfId="5" applyFont="1" applyBorder="1" applyAlignment="1">
      <alignment horizontal="center" vertical="center" wrapText="1"/>
    </xf>
    <xf numFmtId="0" fontId="2" fillId="0" borderId="14" xfId="5" applyBorder="1" applyAlignment="1">
      <alignment vertical="center"/>
    </xf>
    <xf numFmtId="0" fontId="3" fillId="0" borderId="2" xfId="5" applyFont="1" applyBorder="1" applyAlignment="1">
      <alignment horizontal="center" vertical="center"/>
    </xf>
    <xf numFmtId="0" fontId="2" fillId="0" borderId="2" xfId="5" applyBorder="1" applyAlignment="1">
      <alignment horizontal="center" vertical="center" wrapText="1"/>
    </xf>
    <xf numFmtId="0" fontId="2" fillId="0" borderId="2" xfId="5" applyBorder="1" applyAlignment="1">
      <alignment horizontal="left" vertical="center" wrapText="1"/>
    </xf>
    <xf numFmtId="3" fontId="2" fillId="0" borderId="2" xfId="5" applyNumberFormat="1" applyBorder="1" applyAlignment="1">
      <alignment horizontal="right" vertical="center" wrapText="1"/>
    </xf>
    <xf numFmtId="0" fontId="2" fillId="0" borderId="2" xfId="5" applyBorder="1" applyAlignment="1">
      <alignment vertical="center" wrapText="1"/>
    </xf>
    <xf numFmtId="0" fontId="16" fillId="0" borderId="2" xfId="5" applyFont="1" applyBorder="1" applyAlignment="1">
      <alignment horizontal="center"/>
    </xf>
    <xf numFmtId="0" fontId="2" fillId="0" borderId="2" xfId="5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2" fillId="2" borderId="2" xfId="6" applyFont="1" applyFill="1" applyBorder="1" applyAlignment="1">
      <alignment vertical="center" wrapText="1"/>
    </xf>
    <xf numFmtId="0" fontId="2" fillId="0" borderId="7" xfId="5" applyBorder="1" applyAlignment="1">
      <alignment vertical="center" wrapText="1"/>
    </xf>
    <xf numFmtId="0" fontId="2" fillId="0" borderId="2" xfId="9" applyBorder="1" applyAlignment="1">
      <alignment vertical="center" wrapText="1"/>
    </xf>
    <xf numFmtId="3" fontId="2" fillId="0" borderId="2" xfId="9" applyNumberFormat="1" applyBorder="1" applyAlignment="1">
      <alignment vertical="center"/>
    </xf>
    <xf numFmtId="0" fontId="18" fillId="0" borderId="5" xfId="5" applyFont="1" applyBorder="1" applyAlignment="1">
      <alignment vertical="center"/>
    </xf>
    <xf numFmtId="0" fontId="2" fillId="2" borderId="2" xfId="5" applyFill="1" applyBorder="1" applyAlignment="1">
      <alignment horizontal="center" vertical="center"/>
    </xf>
    <xf numFmtId="3" fontId="2" fillId="0" borderId="2" xfId="5" applyNumberFormat="1" applyBorder="1" applyAlignment="1">
      <alignment vertical="center"/>
    </xf>
    <xf numFmtId="3" fontId="2" fillId="0" borderId="2" xfId="5" applyNumberFormat="1" applyBorder="1" applyAlignment="1">
      <alignment horizontal="right" vertical="center"/>
    </xf>
    <xf numFmtId="0" fontId="2" fillId="2" borderId="14" xfId="5" applyFill="1" applyBorder="1" applyAlignment="1">
      <alignment horizontal="center" vertical="center"/>
    </xf>
    <xf numFmtId="0" fontId="2" fillId="0" borderId="2" xfId="9" applyBorder="1" applyAlignment="1">
      <alignment horizontal="center" vertical="center"/>
    </xf>
    <xf numFmtId="3" fontId="2" fillId="0" borderId="2" xfId="9" applyNumberFormat="1" applyBorder="1" applyAlignment="1">
      <alignment horizontal="right" vertical="center"/>
    </xf>
    <xf numFmtId="3" fontId="2" fillId="0" borderId="2" xfId="9" applyNumberFormat="1" applyBorder="1" applyAlignment="1">
      <alignment horizontal="center" vertical="center" wrapText="1"/>
    </xf>
    <xf numFmtId="0" fontId="2" fillId="4" borderId="2" xfId="9" applyFill="1" applyBorder="1" applyAlignment="1">
      <alignment horizontal="left" vertical="center" wrapText="1"/>
    </xf>
    <xf numFmtId="0" fontId="2" fillId="4" borderId="2" xfId="9" applyFill="1" applyBorder="1" applyAlignment="1">
      <alignment horizontal="center" vertical="center"/>
    </xf>
    <xf numFmtId="3" fontId="2" fillId="4" borderId="2" xfId="9" applyNumberFormat="1" applyFill="1" applyBorder="1" applyAlignment="1">
      <alignment horizontal="right" vertical="center"/>
    </xf>
    <xf numFmtId="3" fontId="3" fillId="0" borderId="2" xfId="5" applyNumberFormat="1" applyFont="1" applyBorder="1" applyAlignment="1">
      <alignment horizontal="right" vertical="center"/>
    </xf>
    <xf numFmtId="0" fontId="2" fillId="0" borderId="0" xfId="5" applyAlignment="1">
      <alignment horizontal="center" vertical="center"/>
    </xf>
    <xf numFmtId="168" fontId="0" fillId="0" borderId="0" xfId="7" applyNumberFormat="1" applyFont="1" applyAlignment="1">
      <alignment vertical="center"/>
    </xf>
    <xf numFmtId="0" fontId="3" fillId="0" borderId="0" xfId="5" applyFont="1" applyAlignment="1">
      <alignment horizontal="center" vertical="center"/>
    </xf>
    <xf numFmtId="168" fontId="3" fillId="0" borderId="0" xfId="7" applyNumberFormat="1" applyFont="1" applyAlignment="1">
      <alignment horizontal="right" vertical="center"/>
    </xf>
    <xf numFmtId="0" fontId="3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168" fontId="3" fillId="0" borderId="0" xfId="7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8" fontId="3" fillId="0" borderId="0" xfId="5" applyNumberFormat="1" applyFont="1" applyAlignment="1">
      <alignment horizontal="center" vertical="center" wrapText="1"/>
    </xf>
    <xf numFmtId="168" fontId="2" fillId="0" borderId="0" xfId="5" applyNumberFormat="1" applyAlignment="1">
      <alignment vertical="center"/>
    </xf>
    <xf numFmtId="0" fontId="2" fillId="0" borderId="2" xfId="1" applyBorder="1" applyAlignment="1">
      <alignment horizontal="center" vertical="center"/>
    </xf>
    <xf numFmtId="3" fontId="3" fillId="0" borderId="2" xfId="6" applyNumberFormat="1" applyFont="1" applyBorder="1" applyAlignment="1">
      <alignment horizontal="center" vertical="center"/>
    </xf>
    <xf numFmtId="0" fontId="2" fillId="0" borderId="2" xfId="6" applyFont="1" applyBorder="1" applyAlignment="1">
      <alignment horizontal="left" vertical="center" wrapText="1"/>
    </xf>
    <xf numFmtId="0" fontId="2" fillId="0" borderId="2" xfId="6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2" fillId="0" borderId="2" xfId="6" applyFont="1" applyBorder="1" applyAlignment="1">
      <alignment vertical="center" wrapText="1"/>
    </xf>
    <xf numFmtId="0" fontId="2" fillId="0" borderId="4" xfId="5" applyBorder="1" applyAlignment="1">
      <alignment vertical="center" wrapText="1"/>
    </xf>
    <xf numFmtId="0" fontId="6" fillId="0" borderId="2" xfId="5" applyFont="1" applyBorder="1" applyAlignment="1">
      <alignment horizontal="center" vertical="center" wrapText="1"/>
    </xf>
    <xf numFmtId="168" fontId="6" fillId="0" borderId="2" xfId="7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4" fillId="0" borderId="0" xfId="2" applyFont="1"/>
    <xf numFmtId="0" fontId="24" fillId="0" borderId="0" xfId="5" applyFont="1" applyAlignment="1">
      <alignment horizontal="center" vertical="center"/>
    </xf>
    <xf numFmtId="168" fontId="24" fillId="0" borderId="0" xfId="7" applyNumberFormat="1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4" fillId="0" borderId="0" xfId="3" applyAlignment="1">
      <alignment wrapText="1"/>
    </xf>
    <xf numFmtId="0" fontId="11" fillId="0" borderId="4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 vertical="center" wrapText="1"/>
    </xf>
    <xf numFmtId="3" fontId="11" fillId="0" borderId="4" xfId="3" applyNumberFormat="1" applyFont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wrapText="1"/>
    </xf>
    <xf numFmtId="3" fontId="20" fillId="2" borderId="4" xfId="5" applyNumberFormat="1" applyFont="1" applyFill="1" applyBorder="1" applyAlignment="1">
      <alignment horizontal="center" vertical="center" wrapText="1"/>
    </xf>
    <xf numFmtId="0" fontId="4" fillId="2" borderId="0" xfId="3" applyFill="1"/>
    <xf numFmtId="0" fontId="20" fillId="2" borderId="4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left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3" fontId="24" fillId="2" borderId="5" xfId="3" applyNumberFormat="1" applyFont="1" applyFill="1" applyBorder="1" applyAlignment="1">
      <alignment horizontal="center" vertical="center" wrapText="1"/>
    </xf>
    <xf numFmtId="0" fontId="14" fillId="0" borderId="0" xfId="3" applyFont="1"/>
    <xf numFmtId="3" fontId="24" fillId="2" borderId="5" xfId="2" applyNumberFormat="1" applyFont="1" applyFill="1" applyBorder="1" applyAlignment="1">
      <alignment horizontal="center" vertical="center"/>
    </xf>
    <xf numFmtId="3" fontId="24" fillId="2" borderId="6" xfId="2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2" fillId="0" borderId="7" xfId="6" applyFont="1" applyBorder="1" applyAlignment="1">
      <alignment vertical="center"/>
    </xf>
    <xf numFmtId="0" fontId="2" fillId="0" borderId="2" xfId="6" applyFont="1" applyBorder="1" applyAlignment="1">
      <alignment vertical="center"/>
    </xf>
    <xf numFmtId="0" fontId="17" fillId="0" borderId="2" xfId="6" applyFont="1" applyBorder="1" applyAlignment="1">
      <alignment vertical="center"/>
    </xf>
    <xf numFmtId="166" fontId="2" fillId="0" borderId="11" xfId="8" applyNumberFormat="1" applyFont="1" applyBorder="1" applyAlignment="1">
      <alignment horizontal="right" vertical="center"/>
    </xf>
    <xf numFmtId="3" fontId="2" fillId="0" borderId="2" xfId="6" applyNumberFormat="1" applyFont="1" applyBorder="1" applyAlignment="1">
      <alignment horizontal="right" vertical="center"/>
    </xf>
    <xf numFmtId="0" fontId="2" fillId="0" borderId="14" xfId="5" applyBorder="1" applyAlignment="1">
      <alignment horizontal="right" vertical="center"/>
    </xf>
    <xf numFmtId="166" fontId="2" fillId="0" borderId="2" xfId="7" applyNumberFormat="1" applyFont="1" applyBorder="1" applyAlignment="1">
      <alignment horizontal="right" vertical="center" wrapText="1"/>
    </xf>
    <xf numFmtId="166" fontId="2" fillId="0" borderId="11" xfId="7" applyNumberFormat="1" applyFont="1" applyBorder="1" applyAlignment="1">
      <alignment horizontal="right" vertical="center" wrapText="1"/>
    </xf>
    <xf numFmtId="166" fontId="18" fillId="0" borderId="7" xfId="7" applyNumberFormat="1" applyFont="1" applyBorder="1" applyAlignment="1">
      <alignment horizontal="right" vertical="center"/>
    </xf>
    <xf numFmtId="3" fontId="2" fillId="0" borderId="5" xfId="5" applyNumberFormat="1" applyBorder="1" applyAlignment="1">
      <alignment horizontal="right" vertical="center"/>
    </xf>
    <xf numFmtId="3" fontId="2" fillId="0" borderId="14" xfId="5" applyNumberFormat="1" applyBorder="1" applyAlignment="1">
      <alignment horizontal="right" vertical="center"/>
    </xf>
    <xf numFmtId="0" fontId="2" fillId="2" borderId="2" xfId="5" applyFill="1" applyBorder="1" applyAlignment="1">
      <alignment horizontal="left" vertical="center" wrapText="1"/>
    </xf>
    <xf numFmtId="0" fontId="2" fillId="0" borderId="2" xfId="5" applyBorder="1" applyAlignment="1">
      <alignment horizontal="left" vertical="center"/>
    </xf>
    <xf numFmtId="0" fontId="16" fillId="0" borderId="2" xfId="5" applyFont="1" applyBorder="1" applyAlignment="1">
      <alignment horizontal="center" vertical="center"/>
    </xf>
    <xf numFmtId="0" fontId="18" fillId="0" borderId="2" xfId="6" applyFont="1" applyBorder="1" applyAlignment="1">
      <alignment vertical="center" wrapText="1"/>
    </xf>
    <xf numFmtId="0" fontId="2" fillId="0" borderId="14" xfId="6" applyFont="1" applyBorder="1" applyAlignment="1">
      <alignment horizontal="center" vertical="center"/>
    </xf>
    <xf numFmtId="3" fontId="2" fillId="0" borderId="14" xfId="6" applyNumberFormat="1" applyFont="1" applyBorder="1" applyAlignment="1">
      <alignment horizontal="right" vertical="center"/>
    </xf>
    <xf numFmtId="0" fontId="2" fillId="0" borderId="14" xfId="5" applyBorder="1" applyAlignment="1">
      <alignment horizontal="center" vertical="center"/>
    </xf>
    <xf numFmtId="0" fontId="2" fillId="0" borderId="14" xfId="5" quotePrefix="1" applyBorder="1" applyAlignment="1">
      <alignment horizontal="center" vertical="center"/>
    </xf>
    <xf numFmtId="0" fontId="4" fillId="0" borderId="2" xfId="3" applyBorder="1"/>
    <xf numFmtId="0" fontId="3" fillId="0" borderId="2" xfId="5" applyFont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/>
    </xf>
    <xf numFmtId="0" fontId="2" fillId="2" borderId="2" xfId="6" applyFont="1" applyFill="1" applyBorder="1" applyAlignment="1">
      <alignment horizontal="center" vertical="center"/>
    </xf>
    <xf numFmtId="166" fontId="18" fillId="0" borderId="2" xfId="10" applyNumberFormat="1" applyFont="1" applyBorder="1" applyAlignment="1">
      <alignment horizontal="right" vertical="center"/>
    </xf>
    <xf numFmtId="166" fontId="18" fillId="0" borderId="2" xfId="10" applyNumberFormat="1" applyFont="1" applyFill="1" applyBorder="1" applyAlignment="1">
      <alignment horizontal="right" vertical="center"/>
    </xf>
    <xf numFmtId="3" fontId="2" fillId="2" borderId="2" xfId="6" applyNumberFormat="1" applyFont="1" applyFill="1" applyBorder="1" applyAlignment="1">
      <alignment horizontal="right" vertical="center"/>
    </xf>
    <xf numFmtId="0" fontId="27" fillId="0" borderId="0" xfId="6" applyFont="1"/>
    <xf numFmtId="0" fontId="18" fillId="0" borderId="2" xfId="5" applyFont="1" applyBorder="1" applyAlignment="1">
      <alignment horizontal="center" vertical="center"/>
    </xf>
    <xf numFmtId="0" fontId="2" fillId="0" borderId="14" xfId="6" applyFont="1" applyBorder="1" applyAlignment="1">
      <alignment vertical="center"/>
    </xf>
    <xf numFmtId="0" fontId="15" fillId="0" borderId="0" xfId="6" applyAlignment="1">
      <alignment horizontal="center"/>
    </xf>
    <xf numFmtId="0" fontId="2" fillId="2" borderId="14" xfId="5" applyFill="1" applyBorder="1" applyAlignment="1">
      <alignment horizontal="left" vertical="center"/>
    </xf>
    <xf numFmtId="0" fontId="2" fillId="2" borderId="2" xfId="6" applyFont="1" applyFill="1" applyBorder="1" applyAlignment="1">
      <alignment horizontal="left" vertical="center"/>
    </xf>
    <xf numFmtId="0" fontId="2" fillId="2" borderId="14" xfId="6" applyFont="1" applyFill="1" applyBorder="1" applyAlignment="1">
      <alignment horizontal="left" vertical="center" wrapText="1"/>
    </xf>
    <xf numFmtId="0" fontId="2" fillId="2" borderId="2" xfId="6" applyFont="1" applyFill="1" applyBorder="1" applyAlignment="1">
      <alignment horizontal="left" vertical="center" wrapText="1"/>
    </xf>
    <xf numFmtId="0" fontId="2" fillId="0" borderId="2" xfId="9" applyBorder="1" applyAlignment="1">
      <alignment horizontal="left" vertical="center" wrapText="1"/>
    </xf>
    <xf numFmtId="0" fontId="3" fillId="0" borderId="14" xfId="5" applyFont="1" applyBorder="1" applyAlignment="1">
      <alignment horizontal="center" vertical="center"/>
    </xf>
    <xf numFmtId="0" fontId="3" fillId="0" borderId="2" xfId="5" applyFont="1" applyBorder="1" applyAlignment="1">
      <alignment horizontal="left" vertical="center" wrapText="1"/>
    </xf>
    <xf numFmtId="0" fontId="2" fillId="0" borderId="14" xfId="5" applyBorder="1" applyAlignment="1">
      <alignment horizontal="left" vertical="center"/>
    </xf>
    <xf numFmtId="0" fontId="3" fillId="0" borderId="14" xfId="5" applyFont="1" applyBorder="1" applyAlignment="1">
      <alignment horizontal="left" vertical="center" wrapText="1"/>
    </xf>
    <xf numFmtId="0" fontId="2" fillId="0" borderId="14" xfId="5" applyBorder="1" applyAlignment="1">
      <alignment horizontal="left" vertical="center" wrapText="1"/>
    </xf>
    <xf numFmtId="3" fontId="2" fillId="2" borderId="2" xfId="9" applyNumberFormat="1" applyFill="1" applyBorder="1" applyAlignment="1">
      <alignment horizontal="left" vertical="center" wrapText="1"/>
    </xf>
    <xf numFmtId="0" fontId="15" fillId="0" borderId="0" xfId="6" applyAlignment="1">
      <alignment horizontal="left"/>
    </xf>
    <xf numFmtId="0" fontId="18" fillId="0" borderId="5" xfId="5" applyFont="1" applyBorder="1" applyAlignment="1">
      <alignment horizontal="center" vertical="center"/>
    </xf>
    <xf numFmtId="0" fontId="2" fillId="0" borderId="11" xfId="6" applyFont="1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0" fontId="2" fillId="0" borderId="7" xfId="5" applyBorder="1" applyAlignment="1">
      <alignment horizontal="center" vertical="center"/>
    </xf>
    <xf numFmtId="0" fontId="3" fillId="0" borderId="3" xfId="5" applyFont="1" applyBorder="1" applyAlignment="1">
      <alignment horizontal="right" vertical="center" wrapText="1"/>
    </xf>
    <xf numFmtId="166" fontId="2" fillId="0" borderId="2" xfId="5" applyNumberFormat="1" applyBorder="1" applyAlignment="1">
      <alignment horizontal="right" vertical="center" wrapText="1"/>
    </xf>
    <xf numFmtId="167" fontId="3" fillId="0" borderId="7" xfId="6" applyNumberFormat="1" applyFont="1" applyBorder="1" applyAlignment="1">
      <alignment horizontal="right" vertical="center"/>
    </xf>
    <xf numFmtId="0" fontId="15" fillId="0" borderId="0" xfId="6" applyAlignment="1">
      <alignment horizontal="right"/>
    </xf>
    <xf numFmtId="166" fontId="3" fillId="0" borderId="2" xfId="5" applyNumberFormat="1" applyFont="1" applyBorder="1" applyAlignment="1">
      <alignment horizontal="right" vertical="center" wrapText="1"/>
    </xf>
    <xf numFmtId="3" fontId="3" fillId="0" borderId="14" xfId="5" applyNumberFormat="1" applyFont="1" applyBorder="1" applyAlignment="1">
      <alignment horizontal="right" vertical="center"/>
    </xf>
    <xf numFmtId="0" fontId="2" fillId="2" borderId="2" xfId="9" applyFill="1" applyBorder="1" applyAlignment="1">
      <alignment vertical="center" wrapText="1"/>
    </xf>
    <xf numFmtId="0" fontId="28" fillId="0" borderId="2" xfId="9" applyFont="1" applyBorder="1" applyAlignment="1">
      <alignment horizontal="center" vertical="center" wrapText="1"/>
    </xf>
    <xf numFmtId="0" fontId="2" fillId="2" borderId="2" xfId="9" applyFill="1" applyBorder="1" applyAlignment="1">
      <alignment horizontal="center" vertical="center" wrapText="1"/>
    </xf>
    <xf numFmtId="168" fontId="28" fillId="0" borderId="2" xfId="10" applyNumberFormat="1" applyFont="1" applyFill="1" applyBorder="1" applyAlignment="1">
      <alignment horizontal="right" vertical="center" wrapText="1"/>
    </xf>
    <xf numFmtId="3" fontId="2" fillId="2" borderId="2" xfId="9" applyNumberFormat="1" applyFill="1" applyBorder="1" applyAlignment="1">
      <alignment horizontal="right" vertical="center" wrapText="1"/>
    </xf>
    <xf numFmtId="168" fontId="28" fillId="0" borderId="2" xfId="10" applyNumberFormat="1" applyFont="1" applyBorder="1" applyAlignment="1">
      <alignment horizontal="right" vertical="center" wrapText="1"/>
    </xf>
    <xf numFmtId="3" fontId="2" fillId="2" borderId="2" xfId="9" applyNumberFormat="1" applyFill="1" applyBorder="1" applyAlignment="1">
      <alignment horizontal="right" vertical="center"/>
    </xf>
    <xf numFmtId="0" fontId="2" fillId="2" borderId="2" xfId="11" applyFont="1" applyFill="1" applyBorder="1" applyAlignment="1">
      <alignment horizontal="center" vertical="center" wrapText="1"/>
    </xf>
    <xf numFmtId="0" fontId="2" fillId="0" borderId="2" xfId="3" applyFont="1" applyBorder="1" applyAlignment="1">
      <alignment vertical="center" wrapText="1"/>
    </xf>
    <xf numFmtId="0" fontId="2" fillId="0" borderId="2" xfId="3" applyFont="1" applyBorder="1" applyAlignment="1">
      <alignment horizontal="center"/>
    </xf>
    <xf numFmtId="0" fontId="2" fillId="0" borderId="2" xfId="3" applyFont="1" applyBorder="1"/>
    <xf numFmtId="0" fontId="3" fillId="2" borderId="2" xfId="6" applyFont="1" applyFill="1" applyBorder="1" applyAlignment="1">
      <alignment vertical="center"/>
    </xf>
    <xf numFmtId="3" fontId="2" fillId="0" borderId="2" xfId="3" applyNumberFormat="1" applyFont="1" applyBorder="1" applyAlignment="1">
      <alignment horizontal="right" vertical="center"/>
    </xf>
    <xf numFmtId="0" fontId="18" fillId="2" borderId="2" xfId="5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8" fillId="2" borderId="2" xfId="5" applyFont="1" applyFill="1" applyBorder="1" applyAlignment="1">
      <alignment horizontal="center" wrapText="1"/>
    </xf>
    <xf numFmtId="0" fontId="2" fillId="2" borderId="2" xfId="3" applyFont="1" applyFill="1" applyBorder="1" applyAlignment="1">
      <alignment horizontal="center"/>
    </xf>
    <xf numFmtId="3" fontId="13" fillId="3" borderId="2" xfId="1" applyNumberFormat="1" applyFont="1" applyFill="1" applyBorder="1" applyAlignment="1">
      <alignment horizontal="right" vertical="center" wrapText="1"/>
    </xf>
    <xf numFmtId="166" fontId="13" fillId="3" borderId="2" xfId="4" applyNumberFormat="1" applyFont="1" applyFill="1" applyBorder="1" applyAlignment="1">
      <alignment horizontal="right" vertical="center" wrapText="1"/>
    </xf>
    <xf numFmtId="0" fontId="2" fillId="0" borderId="2" xfId="5" applyBorder="1" applyAlignment="1">
      <alignment vertical="center"/>
    </xf>
    <xf numFmtId="166" fontId="2" fillId="0" borderId="2" xfId="5" applyNumberFormat="1" applyBorder="1" applyAlignment="1">
      <alignment horizontal="center" vertical="center" wrapText="1"/>
    </xf>
    <xf numFmtId="0" fontId="2" fillId="0" borderId="11" xfId="5" applyBorder="1" applyAlignment="1">
      <alignment vertical="center"/>
    </xf>
    <xf numFmtId="0" fontId="2" fillId="0" borderId="11" xfId="6" applyFont="1" applyBorder="1" applyAlignment="1">
      <alignment horizontal="right" vertical="center"/>
    </xf>
    <xf numFmtId="0" fontId="18" fillId="0" borderId="2" xfId="6" applyFont="1" applyBorder="1" applyAlignment="1">
      <alignment horizontal="left" vertical="center" wrapText="1"/>
    </xf>
    <xf numFmtId="0" fontId="2" fillId="0" borderId="2" xfId="6" applyFont="1" applyBorder="1" applyAlignment="1">
      <alignment horizontal="right" vertical="center"/>
    </xf>
    <xf numFmtId="0" fontId="2" fillId="0" borderId="14" xfId="5" applyBorder="1" applyAlignment="1">
      <alignment horizontal="center" vertical="center" wrapText="1"/>
    </xf>
    <xf numFmtId="167" fontId="20" fillId="0" borderId="2" xfId="6" applyNumberFormat="1" applyFont="1" applyBorder="1" applyAlignment="1">
      <alignment horizontal="right" vertical="center" wrapText="1"/>
    </xf>
    <xf numFmtId="167" fontId="2" fillId="0" borderId="2" xfId="6" applyNumberFormat="1" applyFont="1" applyBorder="1" applyAlignment="1">
      <alignment horizontal="right" vertical="center"/>
    </xf>
    <xf numFmtId="0" fontId="13" fillId="0" borderId="2" xfId="6" applyFont="1" applyBorder="1" applyAlignment="1">
      <alignment horizontal="left" vertical="center" wrapText="1"/>
    </xf>
    <xf numFmtId="3" fontId="18" fillId="0" borderId="2" xfId="6" applyNumberFormat="1" applyFont="1" applyBorder="1" applyAlignment="1">
      <alignment horizontal="right" vertical="center"/>
    </xf>
    <xf numFmtId="0" fontId="18" fillId="0" borderId="7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right" vertical="center"/>
    </xf>
    <xf numFmtId="3" fontId="13" fillId="0" borderId="7" xfId="1" applyNumberFormat="1" applyFont="1" applyBorder="1" applyAlignment="1">
      <alignment horizontal="right" vertical="center"/>
    </xf>
    <xf numFmtId="3" fontId="18" fillId="0" borderId="7" xfId="1" applyNumberFormat="1" applyFont="1" applyBorder="1" applyAlignment="1">
      <alignment horizontal="right" vertical="center" wrapText="1"/>
    </xf>
    <xf numFmtId="0" fontId="2" fillId="0" borderId="7" xfId="5" applyBorder="1" applyAlignment="1">
      <alignment horizontal="center" vertical="center" wrapText="1"/>
    </xf>
    <xf numFmtId="0" fontId="2" fillId="2" borderId="2" xfId="6" applyFont="1" applyFill="1" applyBorder="1" applyAlignment="1">
      <alignment vertical="center"/>
    </xf>
    <xf numFmtId="0" fontId="2" fillId="2" borderId="14" xfId="6" applyFont="1" applyFill="1" applyBorder="1" applyAlignment="1">
      <alignment vertical="center"/>
    </xf>
    <xf numFmtId="167" fontId="2" fillId="0" borderId="7" xfId="6" applyNumberFormat="1" applyFont="1" applyBorder="1" applyAlignment="1">
      <alignment horizontal="right" vertical="center"/>
    </xf>
    <xf numFmtId="0" fontId="2" fillId="0" borderId="2" xfId="5" quotePrefix="1" applyBorder="1" applyAlignment="1">
      <alignment horizontal="center" vertical="center"/>
    </xf>
    <xf numFmtId="166" fontId="18" fillId="0" borderId="2" xfId="7" applyNumberFormat="1" applyFont="1" applyBorder="1" applyAlignment="1">
      <alignment horizontal="right" vertical="center"/>
    </xf>
    <xf numFmtId="166" fontId="18" fillId="0" borderId="2" xfId="7" applyNumberFormat="1" applyFont="1" applyBorder="1" applyAlignment="1">
      <alignment vertical="center"/>
    </xf>
    <xf numFmtId="0" fontId="2" fillId="0" borderId="7" xfId="5" applyBorder="1" applyAlignment="1">
      <alignment vertical="center"/>
    </xf>
    <xf numFmtId="166" fontId="18" fillId="0" borderId="7" xfId="7" applyNumberFormat="1" applyFont="1" applyBorder="1" applyAlignment="1">
      <alignment vertical="center"/>
    </xf>
    <xf numFmtId="0" fontId="18" fillId="0" borderId="2" xfId="5" applyFont="1" applyBorder="1" applyAlignment="1">
      <alignment vertical="center"/>
    </xf>
    <xf numFmtId="0" fontId="18" fillId="0" borderId="0" xfId="5" applyFont="1" applyAlignment="1">
      <alignment vertical="center"/>
    </xf>
    <xf numFmtId="3" fontId="2" fillId="0" borderId="5" xfId="5" applyNumberFormat="1" applyBorder="1" applyAlignment="1">
      <alignment vertical="center"/>
    </xf>
    <xf numFmtId="0" fontId="18" fillId="0" borderId="2" xfId="5" applyFont="1" applyBorder="1" applyAlignment="1">
      <alignment horizontal="left" vertical="center"/>
    </xf>
    <xf numFmtId="0" fontId="18" fillId="0" borderId="2" xfId="9" applyFont="1" applyBorder="1" applyAlignment="1">
      <alignment vertical="center" wrapText="1"/>
    </xf>
    <xf numFmtId="3" fontId="2" fillId="0" borderId="2" xfId="9" applyNumberFormat="1" applyBorder="1" applyAlignment="1">
      <alignment horizontal="center" vertical="center"/>
    </xf>
    <xf numFmtId="0" fontId="2" fillId="0" borderId="2" xfId="9" applyBorder="1" applyAlignment="1">
      <alignment horizontal="center" vertical="center" wrapText="1"/>
    </xf>
    <xf numFmtId="0" fontId="18" fillId="0" borderId="2" xfId="9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center" vertical="center" wrapText="1"/>
    </xf>
    <xf numFmtId="168" fontId="18" fillId="0" borderId="2" xfId="10" applyNumberFormat="1" applyFont="1" applyBorder="1" applyAlignment="1">
      <alignment horizontal="right" vertical="center"/>
    </xf>
    <xf numFmtId="168" fontId="2" fillId="0" borderId="2" xfId="10" applyNumberFormat="1" applyFont="1" applyBorder="1" applyAlignment="1">
      <alignment horizontal="right" vertical="center"/>
    </xf>
    <xf numFmtId="0" fontId="2" fillId="0" borderId="2" xfId="9" applyBorder="1" applyAlignment="1">
      <alignment vertical="center"/>
    </xf>
    <xf numFmtId="0" fontId="2" fillId="0" borderId="0" xfId="9" applyAlignment="1">
      <alignment vertical="center"/>
    </xf>
    <xf numFmtId="0" fontId="2" fillId="2" borderId="2" xfId="9" applyFill="1" applyBorder="1" applyAlignment="1">
      <alignment horizontal="center" vertical="center"/>
    </xf>
    <xf numFmtId="3" fontId="2" fillId="2" borderId="2" xfId="9" applyNumberFormat="1" applyFill="1" applyBorder="1" applyAlignment="1">
      <alignment horizontal="center" vertical="center" wrapText="1"/>
    </xf>
    <xf numFmtId="0" fontId="2" fillId="2" borderId="2" xfId="9" applyFill="1" applyBorder="1" applyAlignment="1">
      <alignment horizontal="left" vertical="center" wrapText="1"/>
    </xf>
    <xf numFmtId="0" fontId="2" fillId="4" borderId="2" xfId="9" applyFill="1" applyBorder="1" applyAlignment="1">
      <alignment horizontal="center" vertical="center" wrapText="1"/>
    </xf>
    <xf numFmtId="0" fontId="4" fillId="0" borderId="4" xfId="3" applyBorder="1" applyAlignment="1">
      <alignment wrapText="1"/>
    </xf>
    <xf numFmtId="0" fontId="20" fillId="2" borderId="16" xfId="5" applyFont="1" applyFill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3" fontId="5" fillId="0" borderId="16" xfId="3" applyNumberFormat="1" applyFont="1" applyBorder="1" applyAlignment="1">
      <alignment horizontal="right" vertical="center" wrapText="1"/>
    </xf>
    <xf numFmtId="3" fontId="5" fillId="0" borderId="4" xfId="3" applyNumberFormat="1" applyFont="1" applyBorder="1" applyAlignment="1">
      <alignment horizontal="right" vertical="center" wrapText="1"/>
    </xf>
    <xf numFmtId="3" fontId="5" fillId="2" borderId="4" xfId="2" applyNumberFormat="1" applyFont="1" applyFill="1" applyBorder="1" applyAlignment="1">
      <alignment horizontal="right" vertical="center"/>
    </xf>
    <xf numFmtId="0" fontId="4" fillId="0" borderId="4" xfId="3" applyBorder="1" applyAlignment="1">
      <alignment horizontal="center"/>
    </xf>
    <xf numFmtId="0" fontId="4" fillId="0" borderId="4" xfId="3" applyBorder="1" applyAlignment="1">
      <alignment horizontal="center" vertical="center"/>
    </xf>
    <xf numFmtId="0" fontId="5" fillId="0" borderId="4" xfId="3" applyFont="1" applyBorder="1" applyAlignment="1">
      <alignment horizontal="center"/>
    </xf>
    <xf numFmtId="3" fontId="11" fillId="0" borderId="4" xfId="3" applyNumberFormat="1" applyFont="1" applyBorder="1" applyAlignment="1">
      <alignment horizontal="center"/>
    </xf>
    <xf numFmtId="3" fontId="11" fillId="0" borderId="4" xfId="3" applyNumberFormat="1" applyFont="1" applyBorder="1" applyAlignment="1">
      <alignment horizontal="center" vertical="center"/>
    </xf>
    <xf numFmtId="3" fontId="2" fillId="0" borderId="4" xfId="5" applyNumberFormat="1" applyBorder="1" applyAlignment="1">
      <alignment horizontal="right" vertical="center" wrapText="1"/>
    </xf>
    <xf numFmtId="3" fontId="20" fillId="0" borderId="4" xfId="1" applyNumberFormat="1" applyFont="1" applyBorder="1" applyAlignment="1">
      <alignment horizontal="center" vertical="center" wrapText="1"/>
    </xf>
    <xf numFmtId="3" fontId="20" fillId="2" borderId="4" xfId="1" applyNumberFormat="1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left" wrapText="1"/>
    </xf>
    <xf numFmtId="0" fontId="25" fillId="2" borderId="4" xfId="5" applyFont="1" applyFill="1" applyBorder="1" applyAlignment="1">
      <alignment horizontal="center" vertical="center" wrapText="1"/>
    </xf>
    <xf numFmtId="0" fontId="25" fillId="2" borderId="4" xfId="5" applyFont="1" applyFill="1" applyBorder="1" applyAlignment="1">
      <alignment horizontal="left" vertical="center" wrapText="1"/>
    </xf>
    <xf numFmtId="0" fontId="25" fillId="2" borderId="4" xfId="5" applyFont="1" applyFill="1" applyBorder="1" applyAlignment="1">
      <alignment horizontal="center" wrapText="1"/>
    </xf>
    <xf numFmtId="0" fontId="25" fillId="0" borderId="4" xfId="3" applyFont="1" applyBorder="1" applyAlignment="1">
      <alignment horizontal="center"/>
    </xf>
    <xf numFmtId="3" fontId="25" fillId="0" borderId="16" xfId="3" applyNumberFormat="1" applyFont="1" applyBorder="1" applyAlignment="1">
      <alignment horizontal="right" vertical="center" wrapText="1"/>
    </xf>
    <xf numFmtId="3" fontId="25" fillId="0" borderId="4" xfId="3" applyNumberFormat="1" applyFont="1" applyBorder="1" applyAlignment="1">
      <alignment horizontal="right" vertical="center" wrapText="1"/>
    </xf>
    <xf numFmtId="3" fontId="25" fillId="2" borderId="4" xfId="2" applyNumberFormat="1" applyFont="1" applyFill="1" applyBorder="1" applyAlignment="1">
      <alignment horizontal="right" vertical="center"/>
    </xf>
    <xf numFmtId="0" fontId="20" fillId="2" borderId="4" xfId="5" quotePrefix="1" applyFont="1" applyFill="1" applyBorder="1" applyAlignment="1">
      <alignment horizontal="center" vertical="center" wrapText="1"/>
    </xf>
    <xf numFmtId="0" fontId="24" fillId="0" borderId="4" xfId="5" applyFont="1" applyBorder="1" applyAlignment="1">
      <alignment horizontal="left" wrapText="1"/>
    </xf>
    <xf numFmtId="3" fontId="29" fillId="2" borderId="4" xfId="1" applyNumberFormat="1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left" vertical="center" wrapText="1"/>
    </xf>
    <xf numFmtId="0" fontId="25" fillId="2" borderId="6" xfId="5" applyFont="1" applyFill="1" applyBorder="1" applyAlignment="1">
      <alignment horizontal="center" vertical="center" wrapText="1"/>
    </xf>
    <xf numFmtId="0" fontId="25" fillId="2" borderId="6" xfId="5" applyFont="1" applyFill="1" applyBorder="1" applyAlignment="1">
      <alignment horizontal="left" vertical="center" wrapText="1"/>
    </xf>
    <xf numFmtId="3" fontId="25" fillId="0" borderId="6" xfId="3" applyNumberFormat="1" applyFont="1" applyBorder="1" applyAlignment="1">
      <alignment horizontal="right" vertical="center" wrapText="1"/>
    </xf>
    <xf numFmtId="3" fontId="14" fillId="0" borderId="6" xfId="5" applyNumberFormat="1" applyFont="1" applyBorder="1" applyAlignment="1">
      <alignment horizontal="center" vertical="center"/>
    </xf>
    <xf numFmtId="3" fontId="14" fillId="0" borderId="6" xfId="5" applyNumberFormat="1" applyFont="1" applyBorder="1" applyAlignment="1">
      <alignment horizontal="right" vertical="center"/>
    </xf>
    <xf numFmtId="3" fontId="25" fillId="2" borderId="6" xfId="2" applyNumberFormat="1" applyFont="1" applyFill="1" applyBorder="1" applyAlignment="1">
      <alignment horizontal="right" vertical="center"/>
    </xf>
    <xf numFmtId="3" fontId="5" fillId="2" borderId="6" xfId="2" applyNumberFormat="1" applyFont="1" applyFill="1" applyBorder="1" applyAlignment="1">
      <alignment horizontal="right" vertical="center"/>
    </xf>
    <xf numFmtId="166" fontId="11" fillId="0" borderId="2" xfId="15" applyNumberFormat="1" applyFont="1" applyFill="1" applyBorder="1" applyAlignment="1">
      <alignment vertical="center"/>
    </xf>
    <xf numFmtId="168" fontId="24" fillId="0" borderId="4" xfId="7" applyNumberFormat="1" applyFont="1" applyFill="1" applyBorder="1" applyAlignment="1">
      <alignment horizontal="center" vertical="center" wrapText="1"/>
    </xf>
    <xf numFmtId="166" fontId="11" fillId="0" borderId="2" xfId="15" applyNumberFormat="1" applyFont="1" applyFill="1" applyBorder="1" applyAlignment="1">
      <alignment horizontal="right" vertical="center"/>
    </xf>
    <xf numFmtId="166" fontId="24" fillId="0" borderId="6" xfId="15" applyNumberFormat="1" applyFont="1" applyFill="1" applyBorder="1"/>
    <xf numFmtId="0" fontId="2" fillId="0" borderId="0" xfId="5"/>
    <xf numFmtId="0" fontId="3" fillId="0" borderId="0" xfId="5" applyFont="1" applyAlignment="1">
      <alignment horizontal="center"/>
    </xf>
    <xf numFmtId="0" fontId="3" fillId="0" borderId="0" xfId="5" applyFont="1"/>
    <xf numFmtId="0" fontId="8" fillId="0" borderId="0" xfId="5" applyFont="1" applyAlignment="1">
      <alignment vertical="center"/>
    </xf>
    <xf numFmtId="3" fontId="3" fillId="0" borderId="2" xfId="5" applyNumberFormat="1" applyFont="1" applyBorder="1" applyAlignment="1">
      <alignment vertical="center"/>
    </xf>
    <xf numFmtId="168" fontId="3" fillId="0" borderId="2" xfId="5" applyNumberFormat="1" applyFont="1" applyBorder="1" applyAlignment="1">
      <alignment horizontal="center" vertical="center"/>
    </xf>
    <xf numFmtId="0" fontId="3" fillId="0" borderId="2" xfId="5" applyFont="1" applyBorder="1" applyAlignment="1">
      <alignment vertical="center"/>
    </xf>
    <xf numFmtId="168" fontId="3" fillId="0" borderId="2" xfId="7" applyNumberFormat="1" applyFont="1" applyFill="1" applyBorder="1" applyAlignment="1">
      <alignment vertical="center"/>
    </xf>
    <xf numFmtId="0" fontId="2" fillId="0" borderId="4" xfId="5" applyBorder="1" applyAlignment="1">
      <alignment vertical="center"/>
    </xf>
    <xf numFmtId="3" fontId="2" fillId="0" borderId="4" xfId="5" applyNumberFormat="1" applyBorder="1" applyAlignment="1">
      <alignment vertical="center"/>
    </xf>
    <xf numFmtId="0" fontId="2" fillId="0" borderId="4" xfId="5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3" fontId="2" fillId="0" borderId="1" xfId="5" applyNumberFormat="1" applyBorder="1" applyAlignment="1">
      <alignment vertical="center"/>
    </xf>
    <xf numFmtId="0" fontId="2" fillId="0" borderId="1" xfId="5" applyBorder="1" applyAlignment="1">
      <alignment vertical="center"/>
    </xf>
    <xf numFmtId="0" fontId="2" fillId="0" borderId="6" xfId="5" applyBorder="1" applyAlignment="1">
      <alignment vertical="center"/>
    </xf>
    <xf numFmtId="3" fontId="2" fillId="0" borderId="6" xfId="5" applyNumberFormat="1" applyBorder="1" applyAlignment="1">
      <alignment vertical="center"/>
    </xf>
    <xf numFmtId="0" fontId="2" fillId="0" borderId="6" xfId="5" applyBorder="1" applyAlignment="1">
      <alignment vertical="center" wrapText="1" shrinkToFit="1"/>
    </xf>
    <xf numFmtId="0" fontId="2" fillId="0" borderId="6" xfId="5" applyBorder="1" applyAlignment="1">
      <alignment horizontal="center" vertical="center"/>
    </xf>
    <xf numFmtId="0" fontId="38" fillId="0" borderId="4" xfId="5" applyFont="1" applyBorder="1" applyAlignment="1">
      <alignment vertical="center"/>
    </xf>
    <xf numFmtId="0" fontId="2" fillId="0" borderId="4" xfId="5" applyBorder="1" applyAlignment="1">
      <alignment vertical="center" wrapText="1" shrinkToFit="1"/>
    </xf>
    <xf numFmtId="0" fontId="38" fillId="0" borderId="1" xfId="5" applyFont="1" applyBorder="1" applyAlignment="1">
      <alignment vertical="center"/>
    </xf>
    <xf numFmtId="0" fontId="38" fillId="0" borderId="2" xfId="5" applyFont="1" applyBorder="1" applyAlignment="1">
      <alignment vertical="center"/>
    </xf>
    <xf numFmtId="0" fontId="38" fillId="0" borderId="6" xfId="5" applyFont="1" applyBorder="1" applyAlignment="1">
      <alignment vertical="center"/>
    </xf>
    <xf numFmtId="0" fontId="2" fillId="0" borderId="4" xfId="5" applyBorder="1" applyAlignment="1">
      <alignment horizontal="left" vertical="center" wrapText="1"/>
    </xf>
    <xf numFmtId="0" fontId="2" fillId="0" borderId="4" xfId="5" quotePrefix="1" applyBorder="1" applyAlignment="1">
      <alignment horizontal="center" vertical="center"/>
    </xf>
    <xf numFmtId="0" fontId="14" fillId="0" borderId="4" xfId="5" applyFont="1" applyBorder="1" applyAlignment="1">
      <alignment vertical="center"/>
    </xf>
    <xf numFmtId="0" fontId="2" fillId="0" borderId="1" xfId="5" applyBorder="1" applyAlignment="1">
      <alignment horizontal="left" vertical="center" wrapText="1"/>
    </xf>
    <xf numFmtId="3" fontId="14" fillId="0" borderId="5" xfId="5" applyNumberFormat="1" applyFont="1" applyBorder="1" applyAlignment="1">
      <alignment vertical="center"/>
    </xf>
    <xf numFmtId="0" fontId="2" fillId="0" borderId="5" xfId="5" applyBorder="1" applyAlignment="1">
      <alignment vertical="center"/>
    </xf>
    <xf numFmtId="0" fontId="2" fillId="0" borderId="5" xfId="5" applyBorder="1" applyAlignment="1">
      <alignment horizontal="center" vertical="center"/>
    </xf>
    <xf numFmtId="3" fontId="14" fillId="0" borderId="4" xfId="5" applyNumberFormat="1" applyFont="1" applyBorder="1" applyAlignment="1">
      <alignment vertical="center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/>
    </xf>
    <xf numFmtId="0" fontId="8" fillId="0" borderId="8" xfId="5" applyFont="1" applyBorder="1" applyAlignment="1">
      <alignment horizontal="right" vertical="center"/>
    </xf>
    <xf numFmtId="0" fontId="3" fillId="0" borderId="0" xfId="5" applyFont="1" applyAlignment="1">
      <alignment vertical="center" wrapText="1"/>
    </xf>
    <xf numFmtId="3" fontId="2" fillId="0" borderId="0" xfId="5" applyNumberFormat="1"/>
    <xf numFmtId="0" fontId="2" fillId="0" borderId="0" xfId="13" applyFont="1"/>
    <xf numFmtId="0" fontId="34" fillId="0" borderId="0" xfId="12" applyFont="1" applyAlignment="1">
      <alignment horizontal="center" vertical="center" wrapText="1"/>
    </xf>
    <xf numFmtId="0" fontId="2" fillId="0" borderId="0" xfId="13" applyFont="1" applyAlignment="1">
      <alignment horizontal="right"/>
    </xf>
    <xf numFmtId="0" fontId="2" fillId="0" borderId="0" xfId="13" applyFont="1" applyAlignment="1">
      <alignment wrapText="1"/>
    </xf>
    <xf numFmtId="0" fontId="3" fillId="0" borderId="2" xfId="13" applyFont="1" applyBorder="1" applyAlignment="1">
      <alignment horizontal="center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Border="1" applyAlignment="1">
      <alignment horizontal="center" vertical="center"/>
    </xf>
    <xf numFmtId="166" fontId="3" fillId="0" borderId="0" xfId="13" applyNumberFormat="1" applyFont="1"/>
    <xf numFmtId="0" fontId="3" fillId="0" borderId="0" xfId="13" applyFont="1"/>
    <xf numFmtId="166" fontId="2" fillId="0" borderId="0" xfId="13" applyNumberFormat="1" applyFont="1"/>
    <xf numFmtId="0" fontId="9" fillId="0" borderId="4" xfId="16" applyFont="1" applyBorder="1" applyAlignment="1">
      <alignment vertical="center" wrapText="1"/>
    </xf>
    <xf numFmtId="0" fontId="6" fillId="0" borderId="0" xfId="13" applyFont="1"/>
    <xf numFmtId="0" fontId="2" fillId="0" borderId="16" xfId="13" applyFont="1" applyBorder="1" applyAlignment="1">
      <alignment horizontal="center" vertical="center"/>
    </xf>
    <xf numFmtId="0" fontId="24" fillId="0" borderId="4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/>
    </xf>
    <xf numFmtId="3" fontId="11" fillId="0" borderId="2" xfId="13" applyNumberFormat="1" applyFont="1" applyBorder="1" applyAlignment="1">
      <alignment horizontal="left" vertical="center" wrapText="1"/>
    </xf>
    <xf numFmtId="0" fontId="2" fillId="0" borderId="4" xfId="13" applyFont="1" applyBorder="1" applyAlignment="1">
      <alignment horizontal="center" vertical="center" wrapText="1"/>
    </xf>
    <xf numFmtId="0" fontId="2" fillId="0" borderId="4" xfId="13" applyFont="1" applyBorder="1" applyAlignment="1">
      <alignment horizontal="left" vertical="center" wrapText="1"/>
    </xf>
    <xf numFmtId="0" fontId="35" fillId="0" borderId="4" xfId="13" applyFont="1" applyBorder="1" applyAlignment="1">
      <alignment horizontal="left" vertical="center" wrapText="1"/>
    </xf>
    <xf numFmtId="9" fontId="24" fillId="0" borderId="4" xfId="13" applyNumberFormat="1" applyFont="1" applyBorder="1" applyAlignment="1">
      <alignment horizontal="left" vertical="center" wrapText="1"/>
    </xf>
    <xf numFmtId="0" fontId="24" fillId="0" borderId="2" xfId="13" applyFont="1" applyBorder="1" applyAlignment="1">
      <alignment vertical="center" wrapText="1"/>
    </xf>
    <xf numFmtId="3" fontId="24" fillId="0" borderId="6" xfId="13" applyNumberFormat="1" applyFont="1" applyBorder="1" applyAlignment="1">
      <alignment horizontal="left" wrapText="1"/>
    </xf>
    <xf numFmtId="0" fontId="24" fillId="0" borderId="6" xfId="13" applyFont="1" applyBorder="1"/>
    <xf numFmtId="3" fontId="24" fillId="0" borderId="4" xfId="13" applyNumberFormat="1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/>
    </xf>
    <xf numFmtId="0" fontId="9" fillId="0" borderId="0" xfId="13" applyFont="1" applyAlignment="1">
      <alignment horizontal="right"/>
    </xf>
    <xf numFmtId="0" fontId="7" fillId="0" borderId="0" xfId="13" applyFont="1" applyAlignment="1">
      <alignment horizontal="left" wrapText="1"/>
    </xf>
    <xf numFmtId="0" fontId="7" fillId="0" borderId="0" xfId="13" applyFont="1" applyAlignment="1">
      <alignment wrapText="1"/>
    </xf>
    <xf numFmtId="0" fontId="9" fillId="0" borderId="0" xfId="13" applyFont="1"/>
    <xf numFmtId="3" fontId="3" fillId="0" borderId="4" xfId="13" applyNumberFormat="1" applyFont="1" applyBorder="1" applyAlignment="1">
      <alignment horizontal="right" vertical="center" wrapText="1"/>
    </xf>
    <xf numFmtId="0" fontId="3" fillId="0" borderId="4" xfId="13" applyFont="1" applyBorder="1" applyAlignment="1">
      <alignment horizontal="center" vertical="center"/>
    </xf>
    <xf numFmtId="3" fontId="2" fillId="0" borderId="4" xfId="13" applyNumberFormat="1" applyFont="1" applyBorder="1" applyAlignment="1">
      <alignment horizontal="right" vertical="center" wrapText="1"/>
    </xf>
    <xf numFmtId="0" fontId="2" fillId="0" borderId="4" xfId="16" applyFont="1" applyBorder="1" applyAlignment="1">
      <alignment vertical="center" wrapText="1"/>
    </xf>
    <xf numFmtId="9" fontId="3" fillId="0" borderId="0" xfId="14" applyFont="1"/>
    <xf numFmtId="0" fontId="2" fillId="0" borderId="4" xfId="13" applyFont="1" applyBorder="1" applyAlignment="1">
      <alignment horizontal="center" vertical="center"/>
    </xf>
    <xf numFmtId="0" fontId="2" fillId="2" borderId="4" xfId="16" applyFont="1" applyFill="1" applyBorder="1" applyAlignment="1">
      <alignment vertical="center" wrapText="1"/>
    </xf>
    <xf numFmtId="0" fontId="2" fillId="0" borderId="4" xfId="2" applyFont="1" applyBorder="1" applyAlignment="1">
      <alignment horizontal="left" vertical="center" wrapText="1"/>
    </xf>
    <xf numFmtId="3" fontId="2" fillId="0" borderId="4" xfId="2" applyNumberFormat="1" applyFont="1" applyBorder="1" applyAlignment="1">
      <alignment horizontal="right" vertical="center" wrapText="1"/>
    </xf>
    <xf numFmtId="0" fontId="9" fillId="0" borderId="4" xfId="2" applyFont="1" applyBorder="1" applyAlignment="1">
      <alignment horizontal="left" vertical="center" wrapText="1"/>
    </xf>
    <xf numFmtId="3" fontId="43" fillId="0" borderId="4" xfId="2" applyNumberFormat="1" applyFont="1" applyBorder="1" applyAlignment="1">
      <alignment horizontal="right" vertical="center" wrapText="1"/>
    </xf>
    <xf numFmtId="3" fontId="9" fillId="0" borderId="4" xfId="2" applyNumberFormat="1" applyFont="1" applyBorder="1" applyAlignment="1">
      <alignment horizontal="right" vertical="center" wrapText="1"/>
    </xf>
    <xf numFmtId="166" fontId="11" fillId="2" borderId="4" xfId="15" applyNumberFormat="1" applyFont="1" applyFill="1" applyBorder="1" applyAlignment="1">
      <alignment vertical="center"/>
    </xf>
    <xf numFmtId="0" fontId="18" fillId="2" borderId="4" xfId="5" applyFont="1" applyFill="1" applyBorder="1" applyAlignment="1">
      <alignment horizontal="left" vertical="center" wrapText="1"/>
    </xf>
    <xf numFmtId="0" fontId="13" fillId="2" borderId="4" xfId="18" applyFont="1" applyFill="1" applyBorder="1" applyAlignment="1">
      <alignment horizontal="left" vertical="center" wrapText="1"/>
    </xf>
    <xf numFmtId="0" fontId="2" fillId="2" borderId="4" xfId="18" applyFont="1" applyFill="1" applyBorder="1" applyAlignment="1">
      <alignment vertical="center" wrapText="1"/>
    </xf>
    <xf numFmtId="0" fontId="18" fillId="2" borderId="4" xfId="18" applyFont="1" applyFill="1" applyBorder="1" applyAlignment="1">
      <alignment horizontal="left" vertical="center" wrapText="1"/>
    </xf>
    <xf numFmtId="0" fontId="3" fillId="2" borderId="4" xfId="13" applyFont="1" applyFill="1" applyBorder="1" applyAlignment="1">
      <alignment horizontal="center" vertical="center" wrapText="1"/>
    </xf>
    <xf numFmtId="0" fontId="8" fillId="2" borderId="4" xfId="13" applyFont="1" applyFill="1" applyBorder="1" applyAlignment="1">
      <alignment horizontal="center" vertical="center" wrapText="1"/>
    </xf>
    <xf numFmtId="168" fontId="2" fillId="0" borderId="0" xfId="7" applyNumberFormat="1" applyFont="1" applyAlignment="1">
      <alignment horizontal="center" vertical="center"/>
    </xf>
    <xf numFmtId="168" fontId="2" fillId="2" borderId="0" xfId="7" applyNumberFormat="1" applyFont="1" applyFill="1" applyAlignment="1">
      <alignment horizontal="center" vertical="center"/>
    </xf>
    <xf numFmtId="0" fontId="2" fillId="2" borderId="0" xfId="13" applyFont="1" applyFill="1"/>
    <xf numFmtId="0" fontId="9" fillId="0" borderId="0" xfId="12" applyFont="1" applyAlignment="1">
      <alignment horizontal="left" vertical="center" wrapText="1"/>
    </xf>
    <xf numFmtId="0" fontId="7" fillId="0" borderId="0" xfId="12" applyFont="1" applyAlignment="1">
      <alignment horizontal="left" vertical="center" wrapText="1"/>
    </xf>
    <xf numFmtId="0" fontId="2" fillId="2" borderId="4" xfId="16" applyFont="1" applyFill="1" applyBorder="1" applyAlignment="1">
      <alignment horizontal="right" vertical="center" wrapText="1"/>
    </xf>
    <xf numFmtId="0" fontId="2" fillId="0" borderId="4" xfId="2" applyFont="1" applyBorder="1" applyAlignment="1">
      <alignment horizontal="right" vertical="center" wrapText="1"/>
    </xf>
    <xf numFmtId="0" fontId="9" fillId="0" borderId="4" xfId="2" applyFont="1" applyBorder="1" applyAlignment="1">
      <alignment horizontal="right" vertical="center" wrapText="1"/>
    </xf>
    <xf numFmtId="3" fontId="24" fillId="0" borderId="6" xfId="13" applyNumberFormat="1" applyFont="1" applyBorder="1" applyAlignment="1">
      <alignment horizontal="right" wrapText="1"/>
    </xf>
    <xf numFmtId="3" fontId="2" fillId="2" borderId="4" xfId="13" applyNumberFormat="1" applyFont="1" applyFill="1" applyBorder="1" applyAlignment="1">
      <alignment horizontal="right" vertical="center" wrapText="1"/>
    </xf>
    <xf numFmtId="3" fontId="3" fillId="2" borderId="1" xfId="13" applyNumberFormat="1" applyFont="1" applyFill="1" applyBorder="1" applyAlignment="1">
      <alignment horizontal="right" vertical="center" wrapText="1"/>
    </xf>
    <xf numFmtId="0" fontId="3" fillId="2" borderId="1" xfId="13" applyFont="1" applyFill="1" applyBorder="1" applyAlignment="1">
      <alignment horizontal="center" vertical="center"/>
    </xf>
    <xf numFmtId="166" fontId="2" fillId="2" borderId="4" xfId="15" applyNumberFormat="1" applyFont="1" applyFill="1" applyBorder="1" applyAlignment="1">
      <alignment vertical="center"/>
    </xf>
    <xf numFmtId="0" fontId="2" fillId="0" borderId="0" xfId="13" applyFont="1" applyAlignment="1">
      <alignment vertical="center"/>
    </xf>
    <xf numFmtId="0" fontId="2" fillId="0" borderId="0" xfId="13" applyFont="1" applyAlignment="1">
      <alignment horizontal="right" vertical="center"/>
    </xf>
    <xf numFmtId="0" fontId="2" fillId="0" borderId="0" xfId="13" applyFont="1" applyAlignment="1">
      <alignment vertical="center" wrapText="1"/>
    </xf>
    <xf numFmtId="168" fontId="2" fillId="0" borderId="0" xfId="7" applyNumberFormat="1" applyFont="1" applyAlignment="1">
      <alignment vertical="center"/>
    </xf>
    <xf numFmtId="0" fontId="3" fillId="2" borderId="1" xfId="13" applyFont="1" applyFill="1" applyBorder="1" applyAlignment="1">
      <alignment vertical="center" wrapText="1"/>
    </xf>
    <xf numFmtId="0" fontId="3" fillId="0" borderId="4" xfId="13" applyFont="1" applyBorder="1" applyAlignment="1">
      <alignment vertical="center" wrapText="1"/>
    </xf>
    <xf numFmtId="0" fontId="2" fillId="0" borderId="4" xfId="13" applyFont="1" applyBorder="1" applyAlignment="1">
      <alignment vertical="center" wrapText="1"/>
    </xf>
    <xf numFmtId="166" fontId="24" fillId="0" borderId="4" xfId="15" applyNumberFormat="1" applyFont="1" applyFill="1" applyBorder="1" applyAlignment="1">
      <alignment vertical="center"/>
    </xf>
    <xf numFmtId="166" fontId="24" fillId="0" borderId="5" xfId="15" applyNumberFormat="1" applyFont="1" applyFill="1" applyBorder="1" applyAlignment="1">
      <alignment vertical="center"/>
    </xf>
    <xf numFmtId="0" fontId="2" fillId="0" borderId="4" xfId="16" applyFont="1" applyBorder="1" applyAlignment="1">
      <alignment horizontal="left" vertical="center" wrapText="1"/>
    </xf>
    <xf numFmtId="166" fontId="5" fillId="0" borderId="4" xfId="15" applyNumberFormat="1" applyFont="1" applyFill="1" applyBorder="1" applyAlignment="1">
      <alignment vertical="center"/>
    </xf>
    <xf numFmtId="166" fontId="11" fillId="0" borderId="4" xfId="15" applyNumberFormat="1" applyFont="1" applyFill="1" applyBorder="1" applyAlignment="1">
      <alignment vertical="center"/>
    </xf>
    <xf numFmtId="166" fontId="11" fillId="0" borderId="7" xfId="15" applyNumberFormat="1" applyFont="1" applyFill="1" applyBorder="1" applyAlignment="1">
      <alignment vertical="center"/>
    </xf>
    <xf numFmtId="0" fontId="3" fillId="2" borderId="4" xfId="13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vertical="center" wrapText="1"/>
    </xf>
    <xf numFmtId="166" fontId="3" fillId="2" borderId="4" xfId="13" applyNumberFormat="1" applyFont="1" applyFill="1" applyBorder="1" applyAlignment="1">
      <alignment vertical="center"/>
    </xf>
    <xf numFmtId="43" fontId="2" fillId="0" borderId="0" xfId="13" applyNumberFormat="1" applyFont="1" applyAlignment="1">
      <alignment vertical="center"/>
    </xf>
    <xf numFmtId="166" fontId="3" fillId="0" borderId="4" xfId="13" applyNumberFormat="1" applyFont="1" applyBorder="1" applyAlignment="1">
      <alignment vertical="center"/>
    </xf>
    <xf numFmtId="166" fontId="2" fillId="0" borderId="4" xfId="13" applyNumberFormat="1" applyFont="1" applyBorder="1" applyAlignment="1">
      <alignment vertical="center"/>
    </xf>
    <xf numFmtId="166" fontId="3" fillId="2" borderId="4" xfId="15" applyNumberFormat="1" applyFont="1" applyFill="1" applyBorder="1" applyAlignment="1">
      <alignment horizontal="right" vertical="center"/>
    </xf>
    <xf numFmtId="166" fontId="3" fillId="2" borderId="4" xfId="15" applyNumberFormat="1" applyFont="1" applyFill="1" applyBorder="1" applyAlignment="1">
      <alignment vertical="center"/>
    </xf>
    <xf numFmtId="0" fontId="3" fillId="2" borderId="4" xfId="13" applyFont="1" applyFill="1" applyBorder="1" applyAlignment="1">
      <alignment vertical="center"/>
    </xf>
    <xf numFmtId="166" fontId="2" fillId="0" borderId="0" xfId="13" applyNumberFormat="1" applyFont="1" applyAlignment="1">
      <alignment vertical="center"/>
    </xf>
    <xf numFmtId="0" fontId="3" fillId="2" borderId="4" xfId="13" applyFont="1" applyFill="1" applyBorder="1" applyAlignment="1">
      <alignment horizontal="right" vertical="center" wrapText="1"/>
    </xf>
    <xf numFmtId="0" fontId="2" fillId="2" borderId="4" xfId="13" applyFont="1" applyFill="1" applyBorder="1" applyAlignment="1">
      <alignment horizontal="center" vertical="center"/>
    </xf>
    <xf numFmtId="3" fontId="2" fillId="2" borderId="4" xfId="13" applyNumberFormat="1" applyFont="1" applyFill="1" applyBorder="1" applyAlignment="1">
      <alignment horizontal="left" vertical="center" wrapText="1"/>
    </xf>
    <xf numFmtId="0" fontId="2" fillId="2" borderId="4" xfId="13" applyFont="1" applyFill="1" applyBorder="1" applyAlignment="1">
      <alignment vertical="center"/>
    </xf>
    <xf numFmtId="169" fontId="2" fillId="0" borderId="0" xfId="14" applyNumberFormat="1" applyFont="1" applyAlignment="1">
      <alignment vertical="center"/>
    </xf>
    <xf numFmtId="166" fontId="18" fillId="2" borderId="4" xfId="15" applyNumberFormat="1" applyFont="1" applyFill="1" applyBorder="1" applyAlignment="1">
      <alignment vertical="center"/>
    </xf>
    <xf numFmtId="166" fontId="3" fillId="0" borderId="0" xfId="13" applyNumberFormat="1" applyFont="1" applyAlignment="1">
      <alignment vertical="center"/>
    </xf>
    <xf numFmtId="166" fontId="8" fillId="2" borderId="4" xfId="15" applyNumberFormat="1" applyFont="1" applyFill="1" applyBorder="1" applyAlignment="1">
      <alignment vertical="center"/>
    </xf>
    <xf numFmtId="0" fontId="3" fillId="2" borderId="4" xfId="16" applyFont="1" applyFill="1" applyBorder="1" applyAlignment="1">
      <alignment horizontal="left" vertical="center" wrapText="1"/>
    </xf>
    <xf numFmtId="0" fontId="2" fillId="2" borderId="4" xfId="16" applyFont="1" applyFill="1" applyBorder="1" applyAlignment="1">
      <alignment horizontal="left" vertical="center" wrapText="1"/>
    </xf>
    <xf numFmtId="0" fontId="18" fillId="2" borderId="4" xfId="5" applyFont="1" applyFill="1" applyBorder="1" applyAlignment="1">
      <alignment horizontal="right" vertical="center" wrapText="1"/>
    </xf>
    <xf numFmtId="0" fontId="13" fillId="2" borderId="4" xfId="18" applyFont="1" applyFill="1" applyBorder="1" applyAlignment="1">
      <alignment horizontal="right" vertical="center" wrapText="1"/>
    </xf>
    <xf numFmtId="0" fontId="2" fillId="2" borderId="4" xfId="13" applyFont="1" applyFill="1" applyBorder="1" applyAlignment="1">
      <alignment vertical="center" wrapText="1"/>
    </xf>
    <xf numFmtId="0" fontId="6" fillId="0" borderId="0" xfId="13" applyFont="1" applyAlignment="1">
      <alignment vertical="center"/>
    </xf>
    <xf numFmtId="0" fontId="2" fillId="2" borderId="4" xfId="18" applyFont="1" applyFill="1" applyBorder="1" applyAlignment="1">
      <alignment horizontal="right" vertical="center" wrapText="1"/>
    </xf>
    <xf numFmtId="0" fontId="18" fillId="2" borderId="4" xfId="18" applyFont="1" applyFill="1" applyBorder="1" applyAlignment="1">
      <alignment horizontal="right" vertical="center" wrapText="1"/>
    </xf>
    <xf numFmtId="3" fontId="3" fillId="2" borderId="4" xfId="13" applyNumberFormat="1" applyFont="1" applyFill="1" applyBorder="1" applyAlignment="1">
      <alignment horizontal="left" vertical="center" wrapText="1"/>
    </xf>
    <xf numFmtId="3" fontId="3" fillId="2" borderId="4" xfId="13" applyNumberFormat="1" applyFont="1" applyFill="1" applyBorder="1" applyAlignment="1">
      <alignment horizontal="right" vertical="center" wrapText="1"/>
    </xf>
    <xf numFmtId="3" fontId="3" fillId="2" borderId="4" xfId="13" applyNumberFormat="1" applyFont="1" applyFill="1" applyBorder="1" applyAlignment="1">
      <alignment vertical="center" wrapText="1" shrinkToFit="1"/>
    </xf>
    <xf numFmtId="3" fontId="3" fillId="2" borderId="4" xfId="13" applyNumberFormat="1" applyFont="1" applyFill="1" applyBorder="1" applyAlignment="1">
      <alignment horizontal="right" vertical="center" wrapText="1" shrinkToFit="1"/>
    </xf>
    <xf numFmtId="0" fontId="3" fillId="5" borderId="4" xfId="13" applyFont="1" applyFill="1" applyBorder="1" applyAlignment="1">
      <alignment horizontal="right" vertical="center" wrapText="1"/>
    </xf>
    <xf numFmtId="0" fontId="2" fillId="2" borderId="4" xfId="13" applyFont="1" applyFill="1" applyBorder="1" applyAlignment="1">
      <alignment horizontal="right" vertical="center" wrapText="1"/>
    </xf>
    <xf numFmtId="0" fontId="3" fillId="2" borderId="6" xfId="13" applyFont="1" applyFill="1" applyBorder="1" applyAlignment="1">
      <alignment horizontal="center" vertical="center"/>
    </xf>
    <xf numFmtId="0" fontId="2" fillId="2" borderId="6" xfId="13" applyFont="1" applyFill="1" applyBorder="1" applyAlignment="1">
      <alignment vertical="center" wrapText="1"/>
    </xf>
    <xf numFmtId="0" fontId="2" fillId="2" borderId="6" xfId="13" applyFont="1" applyFill="1" applyBorder="1" applyAlignment="1">
      <alignment horizontal="right" vertical="center" wrapText="1"/>
    </xf>
    <xf numFmtId="166" fontId="2" fillId="2" borderId="6" xfId="15" applyNumberFormat="1" applyFont="1" applyFill="1" applyBorder="1" applyAlignment="1">
      <alignment vertical="center"/>
    </xf>
    <xf numFmtId="0" fontId="3" fillId="0" borderId="0" xfId="13" applyFont="1" applyAlignment="1">
      <alignment vertical="center"/>
    </xf>
    <xf numFmtId="0" fontId="3" fillId="2" borderId="14" xfId="13" applyFont="1" applyFill="1" applyBorder="1" applyAlignment="1">
      <alignment horizontal="center" vertical="center"/>
    </xf>
    <xf numFmtId="3" fontId="11" fillId="2" borderId="14" xfId="13" applyNumberFormat="1" applyFont="1" applyFill="1" applyBorder="1" applyAlignment="1">
      <alignment horizontal="left" vertical="center" wrapText="1"/>
    </xf>
    <xf numFmtId="3" fontId="11" fillId="2" borderId="14" xfId="13" applyNumberFormat="1" applyFont="1" applyFill="1" applyBorder="1" applyAlignment="1">
      <alignment horizontal="right" vertical="center" wrapText="1"/>
    </xf>
    <xf numFmtId="166" fontId="11" fillId="2" borderId="14" xfId="15" applyNumberFormat="1" applyFont="1" applyFill="1" applyBorder="1" applyAlignment="1">
      <alignment vertical="center"/>
    </xf>
    <xf numFmtId="0" fontId="11" fillId="2" borderId="14" xfId="13" applyFont="1" applyFill="1" applyBorder="1" applyAlignment="1">
      <alignment vertical="center"/>
    </xf>
    <xf numFmtId="0" fontId="24" fillId="0" borderId="2" xfId="13" applyFont="1" applyBorder="1" applyAlignment="1">
      <alignment horizontal="left" vertical="center" wrapText="1"/>
    </xf>
    <xf numFmtId="3" fontId="24" fillId="0" borderId="16" xfId="13" applyNumberFormat="1" applyFont="1" applyBorder="1" applyAlignment="1">
      <alignment horizontal="left" vertical="center" wrapText="1"/>
    </xf>
    <xf numFmtId="3" fontId="24" fillId="0" borderId="16" xfId="13" applyNumberFormat="1" applyFont="1" applyBorder="1" applyAlignment="1">
      <alignment horizontal="right" vertical="center" wrapText="1"/>
    </xf>
    <xf numFmtId="166" fontId="24" fillId="0" borderId="16" xfId="15" applyNumberFormat="1" applyFont="1" applyFill="1" applyBorder="1" applyAlignment="1">
      <alignment vertical="center"/>
    </xf>
    <xf numFmtId="0" fontId="24" fillId="0" borderId="16" xfId="13" applyFont="1" applyBorder="1" applyAlignment="1">
      <alignment horizontal="left" vertical="center"/>
    </xf>
    <xf numFmtId="3" fontId="24" fillId="0" borderId="4" xfId="13" applyNumberFormat="1" applyFont="1" applyBorder="1" applyAlignment="1">
      <alignment horizontal="left" vertical="center" wrapText="1"/>
    </xf>
    <xf numFmtId="3" fontId="24" fillId="0" borderId="4" xfId="13" applyNumberFormat="1" applyFont="1" applyBorder="1" applyAlignment="1">
      <alignment horizontal="right" vertical="center" wrapText="1"/>
    </xf>
    <xf numFmtId="0" fontId="24" fillId="0" borderId="4" xfId="13" applyFont="1" applyBorder="1" applyAlignment="1">
      <alignment horizontal="left" vertical="center"/>
    </xf>
    <xf numFmtId="0" fontId="2" fillId="0" borderId="5" xfId="13" applyFont="1" applyBorder="1" applyAlignment="1">
      <alignment horizontal="center" vertical="center"/>
    </xf>
    <xf numFmtId="3" fontId="24" fillId="0" borderId="5" xfId="13" applyNumberFormat="1" applyFont="1" applyBorder="1" applyAlignment="1">
      <alignment horizontal="left" vertical="center" wrapText="1"/>
    </xf>
    <xf numFmtId="3" fontId="24" fillId="0" borderId="5" xfId="13" applyNumberFormat="1" applyFont="1" applyBorder="1" applyAlignment="1">
      <alignment horizontal="right" vertical="center" wrapText="1"/>
    </xf>
    <xf numFmtId="0" fontId="24" fillId="0" borderId="5" xfId="13" applyFont="1" applyBorder="1" applyAlignment="1">
      <alignment horizontal="left" vertical="center"/>
    </xf>
    <xf numFmtId="0" fontId="24" fillId="0" borderId="5" xfId="13" applyFont="1" applyBorder="1" applyAlignment="1">
      <alignment vertical="center"/>
    </xf>
    <xf numFmtId="0" fontId="11" fillId="0" borderId="2" xfId="13" applyFont="1" applyBorder="1" applyAlignment="1">
      <alignment vertical="center"/>
    </xf>
    <xf numFmtId="0" fontId="2" fillId="0" borderId="4" xfId="13" applyFont="1" applyBorder="1" applyAlignment="1">
      <alignment horizontal="right" vertical="center" wrapText="1"/>
    </xf>
    <xf numFmtId="166" fontId="24" fillId="2" borderId="4" xfId="15" applyNumberFormat="1" applyFont="1" applyFill="1" applyBorder="1" applyAlignment="1">
      <alignment vertical="center"/>
    </xf>
    <xf numFmtId="9" fontId="24" fillId="0" borderId="5" xfId="13" applyNumberFormat="1" applyFont="1" applyBorder="1" applyAlignment="1">
      <alignment horizontal="left" vertical="center"/>
    </xf>
    <xf numFmtId="2" fontId="24" fillId="0" borderId="5" xfId="13" applyNumberFormat="1" applyFont="1" applyBorder="1" applyAlignment="1">
      <alignment vertical="center" wrapText="1"/>
    </xf>
    <xf numFmtId="0" fontId="2" fillId="0" borderId="1" xfId="13" applyFont="1" applyBorder="1" applyAlignment="1">
      <alignment horizontal="center" vertical="center"/>
    </xf>
    <xf numFmtId="3" fontId="24" fillId="0" borderId="1" xfId="13" applyNumberFormat="1" applyFont="1" applyBorder="1" applyAlignment="1">
      <alignment horizontal="left" vertical="center" wrapText="1"/>
    </xf>
    <xf numFmtId="3" fontId="24" fillId="0" borderId="1" xfId="13" applyNumberFormat="1" applyFont="1" applyBorder="1" applyAlignment="1">
      <alignment horizontal="right" vertical="center" wrapText="1"/>
    </xf>
    <xf numFmtId="166" fontId="24" fillId="0" borderId="1" xfId="15" applyNumberFormat="1" applyFont="1" applyFill="1" applyBorder="1" applyAlignment="1">
      <alignment vertical="center"/>
    </xf>
    <xf numFmtId="0" fontId="24" fillId="0" borderId="1" xfId="13" applyFont="1" applyBorder="1" applyAlignment="1">
      <alignment horizontal="center" vertical="center"/>
    </xf>
    <xf numFmtId="0" fontId="24" fillId="0" borderId="16" xfId="13" applyFont="1" applyBorder="1" applyAlignment="1">
      <alignment horizontal="center" vertical="center"/>
    </xf>
    <xf numFmtId="0" fontId="24" fillId="0" borderId="4" xfId="13" applyFont="1" applyBorder="1" applyAlignment="1">
      <alignment horizontal="center" vertical="center"/>
    </xf>
    <xf numFmtId="3" fontId="2" fillId="2" borderId="4" xfId="13" applyNumberFormat="1" applyFont="1" applyFill="1" applyBorder="1" applyAlignment="1">
      <alignment vertical="center" wrapText="1"/>
    </xf>
    <xf numFmtId="0" fontId="18" fillId="2" borderId="4" xfId="18" applyFont="1" applyFill="1" applyBorder="1" applyAlignment="1">
      <alignment vertical="center" wrapText="1"/>
    </xf>
    <xf numFmtId="3" fontId="24" fillId="2" borderId="4" xfId="13" applyNumberFormat="1" applyFont="1" applyFill="1" applyBorder="1" applyAlignment="1">
      <alignment horizontal="right" vertical="center" wrapText="1"/>
    </xf>
    <xf numFmtId="166" fontId="24" fillId="2" borderId="5" xfId="15" applyNumberFormat="1" applyFont="1" applyFill="1" applyBorder="1" applyAlignment="1">
      <alignment vertical="center"/>
    </xf>
    <xf numFmtId="0" fontId="24" fillId="0" borderId="5" xfId="13" applyFont="1" applyBorder="1" applyAlignment="1">
      <alignment horizontal="center" vertical="center"/>
    </xf>
    <xf numFmtId="3" fontId="24" fillId="0" borderId="6" xfId="13" applyNumberFormat="1" applyFont="1" applyBorder="1" applyAlignment="1">
      <alignment horizontal="left" vertical="center" wrapText="1"/>
    </xf>
    <xf numFmtId="3" fontId="24" fillId="0" borderId="6" xfId="13" applyNumberFormat="1" applyFont="1" applyBorder="1" applyAlignment="1">
      <alignment horizontal="right" vertical="center" wrapText="1"/>
    </xf>
    <xf numFmtId="166" fontId="24" fillId="0" borderId="6" xfId="15" applyNumberFormat="1" applyFont="1" applyFill="1" applyBorder="1" applyAlignment="1">
      <alignment vertical="center"/>
    </xf>
    <xf numFmtId="0" fontId="24" fillId="0" borderId="6" xfId="13" applyFont="1" applyBorder="1" applyAlignment="1">
      <alignment vertical="center"/>
    </xf>
    <xf numFmtId="0" fontId="24" fillId="0" borderId="2" xfId="13" applyFont="1" applyBorder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3" fontId="4" fillId="2" borderId="1" xfId="3" applyNumberFormat="1" applyFill="1" applyBorder="1" applyAlignment="1">
      <alignment wrapText="1"/>
    </xf>
    <xf numFmtId="3" fontId="3" fillId="2" borderId="1" xfId="3" applyNumberFormat="1" applyFont="1" applyFill="1" applyBorder="1" applyAlignment="1">
      <alignment wrapText="1"/>
    </xf>
    <xf numFmtId="0" fontId="4" fillId="2" borderId="0" xfId="3" applyFill="1" applyAlignment="1">
      <alignment wrapText="1"/>
    </xf>
    <xf numFmtId="0" fontId="2" fillId="0" borderId="0" xfId="3" applyFont="1" applyAlignment="1">
      <alignment horizontal="center" vertical="center"/>
    </xf>
    <xf numFmtId="0" fontId="2" fillId="0" borderId="0" xfId="3" applyFont="1"/>
    <xf numFmtId="0" fontId="2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3" fontId="7" fillId="0" borderId="1" xfId="3" quotePrefix="1" applyNumberFormat="1" applyFont="1" applyBorder="1" applyAlignment="1">
      <alignment horizont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3" fontId="7" fillId="0" borderId="4" xfId="3" applyNumberFormat="1" applyFont="1" applyBorder="1" applyAlignment="1">
      <alignment horizontal="center" vertical="center" wrapText="1"/>
    </xf>
    <xf numFmtId="3" fontId="44" fillId="2" borderId="4" xfId="3" applyNumberFormat="1" applyFont="1" applyFill="1" applyBorder="1" applyAlignment="1">
      <alignment horizontal="center" vertical="center" wrapText="1"/>
    </xf>
    <xf numFmtId="3" fontId="44" fillId="2" borderId="4" xfId="2" applyNumberFormat="1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vertical="center" wrapText="1"/>
    </xf>
    <xf numFmtId="0" fontId="45" fillId="2" borderId="4" xfId="5" applyFont="1" applyFill="1" applyBorder="1" applyAlignment="1">
      <alignment horizontal="center" wrapText="1"/>
    </xf>
    <xf numFmtId="3" fontId="9" fillId="2" borderId="4" xfId="3" applyNumberFormat="1" applyFont="1" applyFill="1" applyBorder="1" applyAlignment="1">
      <alignment horizontal="right" vertical="center" wrapText="1"/>
    </xf>
    <xf numFmtId="3" fontId="45" fillId="2" borderId="4" xfId="5" applyNumberFormat="1" applyFont="1" applyFill="1" applyBorder="1" applyAlignment="1">
      <alignment horizontal="center" vertical="center" wrapText="1"/>
    </xf>
    <xf numFmtId="3" fontId="9" fillId="2" borderId="4" xfId="3" applyNumberFormat="1" applyFont="1" applyFill="1" applyBorder="1" applyAlignment="1">
      <alignment horizontal="center" vertical="center" wrapText="1"/>
    </xf>
    <xf numFmtId="3" fontId="9" fillId="2" borderId="4" xfId="2" applyNumberFormat="1" applyFont="1" applyFill="1" applyBorder="1" applyAlignment="1">
      <alignment horizontal="center" vertical="center"/>
    </xf>
    <xf numFmtId="3" fontId="7" fillId="2" borderId="4" xfId="2" quotePrefix="1" applyNumberFormat="1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center"/>
    </xf>
    <xf numFmtId="3" fontId="7" fillId="2" borderId="4" xfId="3" applyNumberFormat="1" applyFont="1" applyFill="1" applyBorder="1" applyAlignment="1">
      <alignment horizontal="right"/>
    </xf>
    <xf numFmtId="3" fontId="7" fillId="2" borderId="4" xfId="3" applyNumberFormat="1" applyFont="1" applyFill="1" applyBorder="1" applyAlignment="1">
      <alignment horizontal="center" vertical="center"/>
    </xf>
    <xf numFmtId="3" fontId="7" fillId="2" borderId="4" xfId="5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/>
    </xf>
    <xf numFmtId="0" fontId="45" fillId="2" borderId="4" xfId="5" applyFont="1" applyFill="1" applyBorder="1" applyAlignment="1">
      <alignment horizontal="center" vertical="center" wrapText="1"/>
    </xf>
    <xf numFmtId="0" fontId="45" fillId="2" borderId="4" xfId="5" applyFont="1" applyFill="1" applyBorder="1" applyAlignment="1">
      <alignment horizontal="left" vertical="center" wrapText="1"/>
    </xf>
    <xf numFmtId="3" fontId="46" fillId="2" borderId="4" xfId="1" applyNumberFormat="1" applyFont="1" applyFill="1" applyBorder="1" applyAlignment="1">
      <alignment horizontal="center" vertical="center" wrapText="1"/>
    </xf>
    <xf numFmtId="3" fontId="46" fillId="2" borderId="4" xfId="3" applyNumberFormat="1" applyFont="1" applyFill="1" applyBorder="1" applyAlignment="1">
      <alignment horizontal="center" vertical="center" wrapText="1"/>
    </xf>
    <xf numFmtId="3" fontId="46" fillId="2" borderId="4" xfId="2" applyNumberFormat="1" applyFont="1" applyFill="1" applyBorder="1" applyAlignment="1">
      <alignment horizontal="center" vertical="center"/>
    </xf>
    <xf numFmtId="3" fontId="9" fillId="2" borderId="4" xfId="2" quotePrefix="1" applyNumberFormat="1" applyFont="1" applyFill="1" applyBorder="1" applyAlignment="1">
      <alignment horizontal="center" vertical="center"/>
    </xf>
    <xf numFmtId="0" fontId="47" fillId="2" borderId="5" xfId="5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/>
    </xf>
    <xf numFmtId="3" fontId="9" fillId="2" borderId="5" xfId="3" applyNumberFormat="1" applyFont="1" applyFill="1" applyBorder="1" applyAlignment="1">
      <alignment horizontal="right" vertical="center" wrapText="1"/>
    </xf>
    <xf numFmtId="3" fontId="45" fillId="2" borderId="5" xfId="1" applyNumberFormat="1" applyFont="1" applyFill="1" applyBorder="1" applyAlignment="1">
      <alignment horizontal="center" vertical="center" wrapText="1"/>
    </xf>
    <xf numFmtId="3" fontId="9" fillId="2" borderId="5" xfId="3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/>
    </xf>
    <xf numFmtId="0" fontId="45" fillId="2" borderId="5" xfId="5" applyFont="1" applyFill="1" applyBorder="1" applyAlignment="1">
      <alignment horizontal="center" vertical="center" wrapText="1"/>
    </xf>
    <xf numFmtId="0" fontId="48" fillId="3" borderId="4" xfId="1" applyFont="1" applyFill="1" applyBorder="1" applyAlignment="1">
      <alignment vertical="center" wrapText="1"/>
    </xf>
    <xf numFmtId="0" fontId="48" fillId="3" borderId="4" xfId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166" fontId="48" fillId="3" borderId="4" xfId="4" applyNumberFormat="1" applyFont="1" applyFill="1" applyBorder="1" applyAlignment="1">
      <alignment horizontal="right" vertical="center" wrapText="1"/>
    </xf>
    <xf numFmtId="3" fontId="9" fillId="2" borderId="5" xfId="2" applyNumberFormat="1" applyFont="1" applyFill="1" applyBorder="1" applyAlignment="1">
      <alignment horizontal="center" vertical="center"/>
    </xf>
    <xf numFmtId="0" fontId="45" fillId="2" borderId="6" xfId="5" applyFont="1" applyFill="1" applyBorder="1" applyAlignment="1">
      <alignment horizontal="center" vertical="center" wrapText="1"/>
    </xf>
    <xf numFmtId="0" fontId="48" fillId="3" borderId="6" xfId="1" applyFont="1" applyFill="1" applyBorder="1" applyAlignment="1">
      <alignment vertical="center" wrapText="1"/>
    </xf>
    <xf numFmtId="0" fontId="48" fillId="3" borderId="6" xfId="1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/>
    </xf>
    <xf numFmtId="166" fontId="48" fillId="3" borderId="6" xfId="4" applyNumberFormat="1" applyFont="1" applyFill="1" applyBorder="1" applyAlignment="1">
      <alignment horizontal="right" vertical="center" wrapText="1"/>
    </xf>
    <xf numFmtId="3" fontId="45" fillId="2" borderId="6" xfId="1" applyNumberFormat="1" applyFont="1" applyFill="1" applyBorder="1" applyAlignment="1">
      <alignment horizontal="center" vertical="center" wrapText="1"/>
    </xf>
    <xf numFmtId="3" fontId="9" fillId="2" borderId="6" xfId="3" applyNumberFormat="1" applyFont="1" applyFill="1" applyBorder="1" applyAlignment="1">
      <alignment horizontal="center" vertical="center" wrapText="1"/>
    </xf>
    <xf numFmtId="3" fontId="9" fillId="2" borderId="6" xfId="2" applyNumberFormat="1" applyFont="1" applyFill="1" applyBorder="1" applyAlignment="1">
      <alignment horizontal="center" vertical="center"/>
    </xf>
    <xf numFmtId="1" fontId="11" fillId="2" borderId="2" xfId="15" applyNumberFormat="1" applyFont="1" applyFill="1" applyBorder="1" applyAlignment="1">
      <alignment vertical="center"/>
    </xf>
    <xf numFmtId="1" fontId="24" fillId="2" borderId="4" xfId="7" applyNumberFormat="1" applyFont="1" applyFill="1" applyBorder="1" applyAlignment="1">
      <alignment horizontal="center" vertical="center" wrapText="1"/>
    </xf>
    <xf numFmtId="1" fontId="11" fillId="2" borderId="2" xfId="15" applyNumberFormat="1" applyFont="1" applyFill="1" applyBorder="1" applyAlignment="1">
      <alignment horizontal="right" vertical="center"/>
    </xf>
    <xf numFmtId="0" fontId="24" fillId="0" borderId="4" xfId="13" applyFont="1" applyBorder="1" applyAlignment="1">
      <alignment horizontal="left" vertical="center" wrapText="1"/>
    </xf>
    <xf numFmtId="1" fontId="2" fillId="2" borderId="0" xfId="13" applyNumberFormat="1" applyFont="1" applyFill="1" applyAlignment="1">
      <alignment vertical="center"/>
    </xf>
    <xf numFmtId="9" fontId="3" fillId="0" borderId="0" xfId="14" applyFont="1" applyFill="1" applyAlignment="1">
      <alignment vertical="center"/>
    </xf>
    <xf numFmtId="166" fontId="11" fillId="0" borderId="16" xfId="15" applyNumberFormat="1" applyFont="1" applyFill="1" applyBorder="1" applyAlignment="1">
      <alignment vertical="center"/>
    </xf>
    <xf numFmtId="1" fontId="11" fillId="2" borderId="16" xfId="15" applyNumberFormat="1" applyFont="1" applyFill="1" applyBorder="1" applyAlignment="1">
      <alignment vertical="center"/>
    </xf>
    <xf numFmtId="1" fontId="24" fillId="2" borderId="4" xfId="15" applyNumberFormat="1" applyFont="1" applyFill="1" applyBorder="1" applyAlignment="1">
      <alignment vertical="center"/>
    </xf>
    <xf numFmtId="0" fontId="24" fillId="0" borderId="4" xfId="13" applyFont="1" applyBorder="1" applyAlignment="1">
      <alignment vertical="center"/>
    </xf>
    <xf numFmtId="1" fontId="24" fillId="2" borderId="5" xfId="15" applyNumberFormat="1" applyFont="1" applyFill="1" applyBorder="1" applyAlignment="1">
      <alignment vertical="center"/>
    </xf>
    <xf numFmtId="0" fontId="11" fillId="0" borderId="4" xfId="13" applyFont="1" applyBorder="1" applyAlignment="1">
      <alignment vertical="center"/>
    </xf>
    <xf numFmtId="1" fontId="11" fillId="2" borderId="4" xfId="15" applyNumberFormat="1" applyFont="1" applyFill="1" applyBorder="1" applyAlignment="1">
      <alignment vertical="center"/>
    </xf>
    <xf numFmtId="0" fontId="2" fillId="0" borderId="4" xfId="16" applyFont="1" applyBorder="1" applyAlignment="1">
      <alignment vertical="center"/>
    </xf>
    <xf numFmtId="0" fontId="11" fillId="0" borderId="16" xfId="13" applyFont="1" applyBorder="1" applyAlignment="1">
      <alignment vertical="center"/>
    </xf>
    <xf numFmtId="0" fontId="8" fillId="0" borderId="0" xfId="13" applyFont="1" applyAlignment="1">
      <alignment vertical="center"/>
    </xf>
    <xf numFmtId="3" fontId="11" fillId="0" borderId="4" xfId="13" applyNumberFormat="1" applyFont="1" applyBorder="1" applyAlignment="1">
      <alignment horizontal="left" vertical="center" wrapText="1"/>
    </xf>
    <xf numFmtId="0" fontId="3" fillId="0" borderId="16" xfId="13" applyFont="1" applyBorder="1" applyAlignment="1">
      <alignment horizontal="center" vertical="center"/>
    </xf>
    <xf numFmtId="3" fontId="11" fillId="0" borderId="16" xfId="13" applyNumberFormat="1" applyFont="1" applyBorder="1" applyAlignment="1">
      <alignment horizontal="left" vertical="center" wrapText="1"/>
    </xf>
    <xf numFmtId="1" fontId="24" fillId="2" borderId="16" xfId="15" applyNumberFormat="1" applyFont="1" applyFill="1" applyBorder="1" applyAlignment="1">
      <alignment vertical="center"/>
    </xf>
    <xf numFmtId="168" fontId="2" fillId="0" borderId="0" xfId="7" applyNumberFormat="1" applyFont="1" applyFill="1" applyAlignment="1">
      <alignment vertical="center"/>
    </xf>
    <xf numFmtId="168" fontId="2" fillId="0" borderId="0" xfId="13" applyNumberFormat="1" applyFont="1" applyAlignment="1">
      <alignment vertical="center"/>
    </xf>
    <xf numFmtId="1" fontId="24" fillId="2" borderId="1" xfId="15" applyNumberFormat="1" applyFont="1" applyFill="1" applyBorder="1" applyAlignment="1">
      <alignment vertical="center"/>
    </xf>
    <xf numFmtId="1" fontId="24" fillId="2" borderId="6" xfId="15" applyNumberFormat="1" applyFont="1" applyFill="1" applyBorder="1" applyAlignment="1">
      <alignment vertical="center"/>
    </xf>
    <xf numFmtId="0" fontId="2" fillId="0" borderId="6" xfId="13" applyFont="1" applyBorder="1" applyAlignment="1">
      <alignment horizontal="center" vertical="center"/>
    </xf>
    <xf numFmtId="0" fontId="9" fillId="0" borderId="0" xfId="13" applyFont="1" applyAlignment="1">
      <alignment horizontal="right" vertical="center"/>
    </xf>
    <xf numFmtId="0" fontId="7" fillId="0" borderId="0" xfId="13" applyFont="1" applyAlignment="1">
      <alignment vertical="center" wrapText="1"/>
    </xf>
    <xf numFmtId="0" fontId="9" fillId="0" borderId="0" xfId="13" applyFont="1" applyAlignment="1">
      <alignment vertical="center"/>
    </xf>
    <xf numFmtId="1" fontId="9" fillId="2" borderId="0" xfId="13" applyNumberFormat="1" applyFont="1" applyFill="1" applyAlignment="1">
      <alignment vertical="center"/>
    </xf>
    <xf numFmtId="3" fontId="2" fillId="0" borderId="1" xfId="13" applyNumberFormat="1" applyFont="1" applyBorder="1" applyAlignment="1">
      <alignment horizontal="left" vertical="center" wrapText="1"/>
    </xf>
    <xf numFmtId="3" fontId="2" fillId="0" borderId="4" xfId="13" applyNumberFormat="1" applyFont="1" applyBorder="1" applyAlignment="1">
      <alignment horizontal="left" vertical="center" wrapText="1"/>
    </xf>
    <xf numFmtId="3" fontId="2" fillId="0" borderId="5" xfId="13" applyNumberFormat="1" applyFont="1" applyBorder="1" applyAlignment="1">
      <alignment horizontal="left" vertical="center" wrapText="1"/>
    </xf>
    <xf numFmtId="0" fontId="9" fillId="0" borderId="0" xfId="13" applyFont="1" applyAlignment="1">
      <alignment vertical="center" wrapText="1"/>
    </xf>
    <xf numFmtId="0" fontId="7" fillId="0" borderId="2" xfId="13" applyFont="1" applyBorder="1" applyAlignment="1">
      <alignment horizontal="center" vertical="center" wrapText="1"/>
    </xf>
    <xf numFmtId="1" fontId="7" fillId="2" borderId="2" xfId="13" applyNumberFormat="1" applyFont="1" applyFill="1" applyBorder="1" applyAlignment="1">
      <alignment horizontal="center" vertical="center" wrapText="1"/>
    </xf>
    <xf numFmtId="0" fontId="7" fillId="0" borderId="2" xfId="13" applyFont="1" applyBorder="1" applyAlignment="1">
      <alignment vertical="center" wrapText="1"/>
    </xf>
    <xf numFmtId="0" fontId="7" fillId="0" borderId="4" xfId="13" applyFont="1" applyBorder="1" applyAlignment="1">
      <alignment vertical="center" wrapText="1"/>
    </xf>
    <xf numFmtId="0" fontId="9" fillId="0" borderId="4" xfId="13" applyFont="1" applyBorder="1" applyAlignment="1">
      <alignment vertical="center" wrapText="1"/>
    </xf>
    <xf numFmtId="0" fontId="9" fillId="0" borderId="5" xfId="13" applyFont="1" applyBorder="1" applyAlignment="1">
      <alignment vertical="center" wrapText="1"/>
    </xf>
    <xf numFmtId="0" fontId="7" fillId="0" borderId="7" xfId="13" applyFont="1" applyBorder="1" applyAlignment="1">
      <alignment vertical="center" wrapText="1"/>
    </xf>
    <xf numFmtId="1" fontId="7" fillId="2" borderId="4" xfId="17" applyNumberFormat="1" applyFont="1" applyFill="1" applyBorder="1" applyAlignment="1">
      <alignment vertical="center" wrapText="1"/>
    </xf>
    <xf numFmtId="0" fontId="9" fillId="0" borderId="16" xfId="13" applyFont="1" applyBorder="1" applyAlignment="1">
      <alignment vertical="center" wrapText="1"/>
    </xf>
    <xf numFmtId="1" fontId="9" fillId="2" borderId="4" xfId="17" applyNumberFormat="1" applyFont="1" applyFill="1" applyBorder="1" applyAlignment="1">
      <alignment horizontal="right" vertical="center" wrapText="1"/>
    </xf>
    <xf numFmtId="3" fontId="9" fillId="0" borderId="4" xfId="13" applyNumberFormat="1" applyFont="1" applyBorder="1" applyAlignment="1">
      <alignment horizontal="left" vertical="center" wrapText="1"/>
    </xf>
    <xf numFmtId="3" fontId="9" fillId="0" borderId="4" xfId="13" applyNumberFormat="1" applyFont="1" applyBorder="1" applyAlignment="1">
      <alignment vertical="center" wrapText="1" shrinkToFit="1"/>
    </xf>
    <xf numFmtId="0" fontId="9" fillId="0" borderId="4" xfId="13" applyFont="1" applyBorder="1" applyAlignment="1">
      <alignment horizontal="center" vertical="center" wrapText="1"/>
    </xf>
    <xf numFmtId="0" fontId="9" fillId="0" borderId="0" xfId="13" applyFont="1" applyAlignment="1">
      <alignment horizontal="right" vertical="center" wrapText="1"/>
    </xf>
    <xf numFmtId="166" fontId="7" fillId="0" borderId="2" xfId="13" applyNumberFormat="1" applyFont="1" applyBorder="1" applyAlignment="1">
      <alignment vertical="center" wrapText="1"/>
    </xf>
    <xf numFmtId="1" fontId="7" fillId="2" borderId="2" xfId="13" applyNumberFormat="1" applyFont="1" applyFill="1" applyBorder="1" applyAlignment="1">
      <alignment vertical="center" wrapText="1"/>
    </xf>
    <xf numFmtId="0" fontId="7" fillId="0" borderId="4" xfId="13" applyFont="1" applyBorder="1" applyAlignment="1">
      <alignment horizontal="center" vertical="center" wrapText="1"/>
    </xf>
    <xf numFmtId="166" fontId="7" fillId="0" borderId="16" xfId="15" applyNumberFormat="1" applyFont="1" applyFill="1" applyBorder="1" applyAlignment="1">
      <alignment vertical="center" wrapText="1"/>
    </xf>
    <xf numFmtId="1" fontId="7" fillId="2" borderId="16" xfId="15" applyNumberFormat="1" applyFont="1" applyFill="1" applyBorder="1" applyAlignment="1">
      <alignment vertical="center" wrapText="1"/>
    </xf>
    <xf numFmtId="166" fontId="9" fillId="0" borderId="4" xfId="15" applyNumberFormat="1" applyFont="1" applyFill="1" applyBorder="1" applyAlignment="1">
      <alignment vertical="center" wrapText="1"/>
    </xf>
    <xf numFmtId="1" fontId="9" fillId="2" borderId="4" xfId="15" applyNumberFormat="1" applyFont="1" applyFill="1" applyBorder="1" applyAlignment="1">
      <alignment vertical="center" wrapText="1"/>
    </xf>
    <xf numFmtId="166" fontId="9" fillId="0" borderId="5" xfId="15" applyNumberFormat="1" applyFont="1" applyFill="1" applyBorder="1" applyAlignment="1">
      <alignment vertical="center" wrapText="1"/>
    </xf>
    <xf numFmtId="1" fontId="9" fillId="2" borderId="5" xfId="15" applyNumberFormat="1" applyFont="1" applyFill="1" applyBorder="1" applyAlignment="1">
      <alignment vertical="center" wrapText="1"/>
    </xf>
    <xf numFmtId="166" fontId="7" fillId="0" borderId="5" xfId="13" applyNumberFormat="1" applyFont="1" applyBorder="1" applyAlignment="1">
      <alignment vertical="center" wrapText="1"/>
    </xf>
    <xf numFmtId="1" fontId="7" fillId="2" borderId="5" xfId="13" applyNumberFormat="1" applyFont="1" applyFill="1" applyBorder="1" applyAlignment="1">
      <alignment vertical="center" wrapText="1"/>
    </xf>
    <xf numFmtId="0" fontId="9" fillId="0" borderId="4" xfId="16" applyFont="1" applyBorder="1" applyAlignment="1">
      <alignment horizontal="left" vertical="center" wrapText="1"/>
    </xf>
    <xf numFmtId="1" fontId="22" fillId="2" borderId="4" xfId="15" applyNumberFormat="1" applyFont="1" applyFill="1" applyBorder="1" applyAlignment="1">
      <alignment vertical="center" wrapText="1"/>
    </xf>
    <xf numFmtId="166" fontId="7" fillId="0" borderId="4" xfId="15" applyNumberFormat="1" applyFont="1" applyFill="1" applyBorder="1" applyAlignment="1">
      <alignment vertical="center" wrapText="1"/>
    </xf>
    <xf numFmtId="1" fontId="7" fillId="2" borderId="4" xfId="15" applyNumberFormat="1" applyFont="1" applyFill="1" applyBorder="1" applyAlignment="1">
      <alignment vertical="center" wrapText="1"/>
    </xf>
    <xf numFmtId="0" fontId="7" fillId="0" borderId="7" xfId="13" applyFont="1" applyBorder="1" applyAlignment="1">
      <alignment horizontal="center" vertical="center" wrapText="1"/>
    </xf>
    <xf numFmtId="166" fontId="7" fillId="0" borderId="7" xfId="15" applyNumberFormat="1" applyFont="1" applyFill="1" applyBorder="1" applyAlignment="1">
      <alignment vertical="center" wrapText="1"/>
    </xf>
    <xf numFmtId="1" fontId="7" fillId="2" borderId="7" xfId="15" applyNumberFormat="1" applyFont="1" applyFill="1" applyBorder="1" applyAlignment="1">
      <alignment vertical="center" wrapText="1"/>
    </xf>
    <xf numFmtId="166" fontId="7" fillId="0" borderId="2" xfId="15" applyNumberFormat="1" applyFont="1" applyFill="1" applyBorder="1" applyAlignment="1">
      <alignment vertical="center" wrapText="1"/>
    </xf>
    <xf numFmtId="1" fontId="7" fillId="2" borderId="2" xfId="15" applyNumberFormat="1" applyFont="1" applyFill="1" applyBorder="1" applyAlignment="1">
      <alignment vertical="center" wrapText="1"/>
    </xf>
    <xf numFmtId="0" fontId="9" fillId="0" borderId="16" xfId="13" applyFont="1" applyBorder="1" applyAlignment="1">
      <alignment horizontal="center" vertical="center" wrapText="1"/>
    </xf>
    <xf numFmtId="166" fontId="9" fillId="0" borderId="16" xfId="15" applyNumberFormat="1" applyFont="1" applyFill="1" applyBorder="1" applyAlignment="1">
      <alignment vertical="center" wrapText="1"/>
    </xf>
    <xf numFmtId="1" fontId="9" fillId="2" borderId="16" xfId="15" applyNumberFormat="1" applyFont="1" applyFill="1" applyBorder="1" applyAlignment="1">
      <alignment horizontal="right" vertical="center" wrapText="1"/>
    </xf>
    <xf numFmtId="0" fontId="7" fillId="0" borderId="16" xfId="13" applyFont="1" applyBorder="1" applyAlignment="1">
      <alignment vertical="center" wrapText="1"/>
    </xf>
    <xf numFmtId="166" fontId="9" fillId="0" borderId="7" xfId="15" applyNumberFormat="1" applyFont="1" applyFill="1" applyBorder="1" applyAlignment="1">
      <alignment vertical="center" wrapText="1"/>
    </xf>
    <xf numFmtId="1" fontId="9" fillId="2" borderId="7" xfId="15" applyNumberFormat="1" applyFont="1" applyFill="1" applyBorder="1" applyAlignment="1">
      <alignment horizontal="right" vertical="center" wrapText="1"/>
    </xf>
    <xf numFmtId="0" fontId="22" fillId="0" borderId="4" xfId="13" applyFont="1" applyBorder="1" applyAlignment="1">
      <alignment vertical="center" wrapText="1"/>
    </xf>
    <xf numFmtId="0" fontId="9" fillId="0" borderId="4" xfId="13" applyFont="1" applyBorder="1" applyAlignment="1">
      <alignment horizontal="left" vertical="center" wrapText="1"/>
    </xf>
    <xf numFmtId="0" fontId="14" fillId="2" borderId="4" xfId="13" applyFont="1" applyFill="1" applyBorder="1" applyAlignment="1">
      <alignment vertical="center" wrapText="1"/>
    </xf>
    <xf numFmtId="166" fontId="24" fillId="0" borderId="2" xfId="13" applyNumberFormat="1" applyFont="1" applyBorder="1" applyAlignment="1">
      <alignment vertical="center"/>
    </xf>
    <xf numFmtId="0" fontId="9" fillId="0" borderId="0" xfId="16" applyFont="1"/>
    <xf numFmtId="0" fontId="9" fillId="0" borderId="0" xfId="19" applyFont="1"/>
    <xf numFmtId="0" fontId="50" fillId="0" borderId="0" xfId="20"/>
    <xf numFmtId="0" fontId="7" fillId="0" borderId="0" xfId="19" applyFont="1" applyAlignment="1">
      <alignment horizontal="center" vertical="center"/>
    </xf>
    <xf numFmtId="0" fontId="9" fillId="0" borderId="0" xfId="19" applyFont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 wrapText="1"/>
    </xf>
    <xf numFmtId="170" fontId="9" fillId="0" borderId="0" xfId="19" applyNumberFormat="1" applyFont="1"/>
    <xf numFmtId="170" fontId="50" fillId="0" borderId="0" xfId="20" applyNumberFormat="1"/>
    <xf numFmtId="168" fontId="0" fillId="0" borderId="0" xfId="21" applyNumberFormat="1" applyFont="1"/>
    <xf numFmtId="168" fontId="50" fillId="0" borderId="0" xfId="20" applyNumberFormat="1"/>
    <xf numFmtId="0" fontId="9" fillId="0" borderId="2" xfId="16" applyFont="1" applyBorder="1" applyAlignment="1">
      <alignment horizontal="center" vertical="center"/>
    </xf>
    <xf numFmtId="0" fontId="45" fillId="0" borderId="2" xfId="19" applyFont="1" applyBorder="1" applyAlignment="1">
      <alignment horizontal="center" vertical="center"/>
    </xf>
    <xf numFmtId="3" fontId="50" fillId="0" borderId="0" xfId="20" applyNumberFormat="1"/>
    <xf numFmtId="49" fontId="52" fillId="0" borderId="2" xfId="19" applyNumberFormat="1" applyFont="1" applyBorder="1" applyAlignment="1">
      <alignment horizontal="center" vertical="center"/>
    </xf>
    <xf numFmtId="0" fontId="48" fillId="0" borderId="2" xfId="19" applyFont="1" applyBorder="1" applyAlignment="1">
      <alignment vertical="center" wrapText="1"/>
    </xf>
    <xf numFmtId="1" fontId="50" fillId="0" borderId="0" xfId="20" applyNumberFormat="1"/>
    <xf numFmtId="0" fontId="9" fillId="0" borderId="2" xfId="16" applyFont="1" applyBorder="1" applyAlignment="1">
      <alignment vertical="center" wrapText="1"/>
    </xf>
    <xf numFmtId="0" fontId="22" fillId="0" borderId="2" xfId="16" applyFont="1" applyBorder="1" applyAlignment="1">
      <alignment vertical="center" wrapText="1"/>
    </xf>
    <xf numFmtId="0" fontId="9" fillId="0" borderId="2" xfId="16" applyFont="1" applyBorder="1" applyAlignment="1">
      <alignment horizontal="center"/>
    </xf>
    <xf numFmtId="0" fontId="9" fillId="0" borderId="0" xfId="16" applyFont="1" applyAlignment="1">
      <alignment horizontal="center"/>
    </xf>
    <xf numFmtId="0" fontId="9" fillId="0" borderId="0" xfId="19" applyFont="1" applyAlignment="1">
      <alignment vertical="center"/>
    </xf>
    <xf numFmtId="0" fontId="22" fillId="0" borderId="0" xfId="19" applyFont="1" applyAlignment="1">
      <alignment vertical="center"/>
    </xf>
    <xf numFmtId="3" fontId="22" fillId="0" borderId="0" xfId="19" applyNumberFormat="1" applyFont="1" applyAlignment="1">
      <alignment vertical="center"/>
    </xf>
    <xf numFmtId="0" fontId="22" fillId="0" borderId="0" xfId="19" applyFont="1" applyAlignment="1">
      <alignment horizontal="center" vertical="center"/>
    </xf>
    <xf numFmtId="0" fontId="7" fillId="0" borderId="0" xfId="19" applyFont="1" applyAlignment="1">
      <alignment horizontal="center" vertical="center" wrapText="1"/>
    </xf>
    <xf numFmtId="0" fontId="7" fillId="0" borderId="2" xfId="16" applyFont="1" applyBorder="1" applyAlignment="1">
      <alignment horizontal="left" vertical="center" wrapText="1"/>
    </xf>
    <xf numFmtId="0" fontId="9" fillId="0" borderId="2" xfId="16" applyFont="1" applyBorder="1" applyAlignment="1">
      <alignment horizontal="left" vertical="center" wrapText="1"/>
    </xf>
    <xf numFmtId="0" fontId="7" fillId="0" borderId="2" xfId="16" applyFont="1" applyBorder="1" applyAlignment="1">
      <alignment vertical="center" wrapText="1"/>
    </xf>
    <xf numFmtId="0" fontId="45" fillId="0" borderId="2" xfId="19" applyFont="1" applyBorder="1" applyAlignment="1">
      <alignment vertical="center" wrapText="1"/>
    </xf>
    <xf numFmtId="0" fontId="51" fillId="0" borderId="2" xfId="19" applyFont="1" applyBorder="1" applyAlignment="1">
      <alignment vertical="center" wrapText="1"/>
    </xf>
    <xf numFmtId="0" fontId="54" fillId="0" borderId="2" xfId="16" applyFont="1" applyBorder="1" applyAlignment="1">
      <alignment horizontal="center" vertical="center"/>
    </xf>
    <xf numFmtId="0" fontId="53" fillId="2" borderId="2" xfId="16" applyFont="1" applyFill="1" applyBorder="1" applyAlignment="1">
      <alignment horizontal="center" vertical="center"/>
    </xf>
    <xf numFmtId="3" fontId="53" fillId="2" borderId="2" xfId="16" applyNumberFormat="1" applyFont="1" applyFill="1" applyBorder="1" applyAlignment="1">
      <alignment horizontal="right" vertical="center"/>
    </xf>
    <xf numFmtId="170" fontId="53" fillId="2" borderId="2" xfId="16" applyNumberFormat="1" applyFont="1" applyFill="1" applyBorder="1" applyAlignment="1">
      <alignment horizontal="right" vertical="center"/>
    </xf>
    <xf numFmtId="3" fontId="53" fillId="2" borderId="2" xfId="16" applyNumberFormat="1" applyFont="1" applyFill="1" applyBorder="1" applyAlignment="1">
      <alignment horizontal="center" vertical="center" wrapText="1"/>
    </xf>
    <xf numFmtId="0" fontId="53" fillId="2" borderId="2" xfId="16" applyFont="1" applyFill="1" applyBorder="1" applyAlignment="1">
      <alignment horizontal="center" vertical="center" wrapText="1"/>
    </xf>
    <xf numFmtId="0" fontId="53" fillId="2" borderId="2" xfId="16" applyFont="1" applyFill="1" applyBorder="1" applyAlignment="1">
      <alignment horizontal="left" vertical="center"/>
    </xf>
    <xf numFmtId="3" fontId="53" fillId="2" borderId="2" xfId="16" applyNumberFormat="1" applyFont="1" applyFill="1" applyBorder="1" applyAlignment="1">
      <alignment horizontal="center" vertical="center"/>
    </xf>
    <xf numFmtId="170" fontId="54" fillId="2" borderId="2" xfId="16" applyNumberFormat="1" applyFont="1" applyFill="1" applyBorder="1" applyAlignment="1">
      <alignment vertical="center"/>
    </xf>
    <xf numFmtId="170" fontId="53" fillId="2" borderId="2" xfId="16" applyNumberFormat="1" applyFont="1" applyFill="1" applyBorder="1" applyAlignment="1">
      <alignment vertical="center"/>
    </xf>
    <xf numFmtId="0" fontId="54" fillId="2" borderId="2" xfId="16" applyFont="1" applyFill="1" applyBorder="1" applyAlignment="1">
      <alignment horizontal="center" vertical="center"/>
    </xf>
    <xf numFmtId="3" fontId="54" fillId="2" borderId="2" xfId="16" applyNumberFormat="1" applyFont="1" applyFill="1" applyBorder="1" applyAlignment="1">
      <alignment horizontal="right" vertical="center"/>
    </xf>
    <xf numFmtId="3" fontId="54" fillId="2" borderId="2" xfId="16" applyNumberFormat="1" applyFont="1" applyFill="1" applyBorder="1" applyAlignment="1">
      <alignment horizontal="center" vertical="center"/>
    </xf>
    <xf numFmtId="3" fontId="54" fillId="2" borderId="2" xfId="16" applyNumberFormat="1" applyFont="1" applyFill="1" applyBorder="1" applyAlignment="1">
      <alignment vertical="center"/>
    </xf>
    <xf numFmtId="0" fontId="53" fillId="2" borderId="2" xfId="16" applyFont="1" applyFill="1" applyBorder="1" applyAlignment="1">
      <alignment vertical="center"/>
    </xf>
    <xf numFmtId="0" fontId="54" fillId="2" borderId="2" xfId="19" applyFont="1" applyFill="1" applyBorder="1" applyAlignment="1">
      <alignment vertical="center"/>
    </xf>
    <xf numFmtId="3" fontId="54" fillId="2" borderId="2" xfId="19" applyNumberFormat="1" applyFont="1" applyFill="1" applyBorder="1" applyAlignment="1">
      <alignment horizontal="right" vertical="center"/>
    </xf>
    <xf numFmtId="3" fontId="54" fillId="2" borderId="2" xfId="19" applyNumberFormat="1" applyFont="1" applyFill="1" applyBorder="1" applyAlignment="1">
      <alignment horizontal="center" vertical="center"/>
    </xf>
    <xf numFmtId="3" fontId="54" fillId="2" borderId="2" xfId="19" applyNumberFormat="1" applyFont="1" applyFill="1" applyBorder="1" applyAlignment="1">
      <alignment vertical="center"/>
    </xf>
    <xf numFmtId="0" fontId="55" fillId="2" borderId="2" xfId="19" applyFont="1" applyFill="1" applyBorder="1" applyAlignment="1">
      <alignment vertical="center"/>
    </xf>
    <xf numFmtId="3" fontId="55" fillId="2" borderId="2" xfId="19" applyNumberFormat="1" applyFont="1" applyFill="1" applyBorder="1" applyAlignment="1">
      <alignment horizontal="right" vertical="center"/>
    </xf>
    <xf numFmtId="3" fontId="55" fillId="2" borderId="2" xfId="16" applyNumberFormat="1" applyFont="1" applyFill="1" applyBorder="1" applyAlignment="1">
      <alignment vertical="center"/>
    </xf>
    <xf numFmtId="3" fontId="55" fillId="2" borderId="2" xfId="19" applyNumberFormat="1" applyFont="1" applyFill="1" applyBorder="1" applyAlignment="1">
      <alignment vertical="center"/>
    </xf>
    <xf numFmtId="0" fontId="54" fillId="2" borderId="2" xfId="19" applyFont="1" applyFill="1" applyBorder="1" applyAlignment="1">
      <alignment vertical="center" wrapText="1"/>
    </xf>
    <xf numFmtId="3" fontId="54" fillId="2" borderId="2" xfId="19" applyNumberFormat="1" applyFont="1" applyFill="1" applyBorder="1" applyAlignment="1">
      <alignment horizontal="right" vertical="center" wrapText="1"/>
    </xf>
    <xf numFmtId="0" fontId="54" fillId="2" borderId="2" xfId="16" applyFont="1" applyFill="1" applyBorder="1" applyAlignment="1">
      <alignment vertical="center" wrapText="1"/>
    </xf>
    <xf numFmtId="3" fontId="54" fillId="2" borderId="2" xfId="16" applyNumberFormat="1" applyFont="1" applyFill="1" applyBorder="1" applyAlignment="1">
      <alignment horizontal="right" vertical="center" wrapText="1"/>
    </xf>
    <xf numFmtId="3" fontId="53" fillId="2" borderId="2" xfId="14" applyNumberFormat="1" applyFont="1" applyFill="1" applyBorder="1" applyAlignment="1">
      <alignment horizontal="center" vertical="center"/>
    </xf>
    <xf numFmtId="3" fontId="53" fillId="2" borderId="2" xfId="19" applyNumberFormat="1" applyFont="1" applyFill="1" applyBorder="1" applyAlignment="1">
      <alignment vertical="center"/>
    </xf>
    <xf numFmtId="0" fontId="55" fillId="2" borderId="2" xfId="16" applyFont="1" applyFill="1" applyBorder="1" applyAlignment="1">
      <alignment vertical="center" wrapText="1"/>
    </xf>
    <xf numFmtId="3" fontId="55" fillId="2" borderId="2" xfId="16" applyNumberFormat="1" applyFont="1" applyFill="1" applyBorder="1" applyAlignment="1">
      <alignment horizontal="right" vertical="center" wrapText="1"/>
    </xf>
    <xf numFmtId="0" fontId="55" fillId="2" borderId="2" xfId="16" applyFont="1" applyFill="1" applyBorder="1" applyAlignment="1">
      <alignment vertical="center"/>
    </xf>
    <xf numFmtId="3" fontId="55" fillId="2" borderId="2" xfId="16" applyNumberFormat="1" applyFont="1" applyFill="1" applyBorder="1" applyAlignment="1">
      <alignment horizontal="right" vertical="center"/>
    </xf>
    <xf numFmtId="3" fontId="54" fillId="2" borderId="2" xfId="14" applyNumberFormat="1" applyFont="1" applyFill="1" applyBorder="1" applyAlignment="1">
      <alignment horizontal="center" vertical="center"/>
    </xf>
    <xf numFmtId="3" fontId="53" fillId="2" borderId="2" xfId="16" applyNumberFormat="1" applyFont="1" applyFill="1" applyBorder="1" applyAlignment="1">
      <alignment vertical="center"/>
    </xf>
    <xf numFmtId="0" fontId="54" fillId="2" borderId="2" xfId="16" applyFont="1" applyFill="1" applyBorder="1" applyAlignment="1">
      <alignment horizontal="left" vertical="center"/>
    </xf>
    <xf numFmtId="39" fontId="2" fillId="2" borderId="4" xfId="15" applyNumberFormat="1" applyFont="1" applyFill="1" applyBorder="1" applyAlignment="1">
      <alignment vertical="center"/>
    </xf>
    <xf numFmtId="166" fontId="2" fillId="5" borderId="4" xfId="15" applyNumberFormat="1" applyFont="1" applyFill="1" applyBorder="1" applyAlignment="1">
      <alignment vertical="center"/>
    </xf>
    <xf numFmtId="166" fontId="18" fillId="5" borderId="4" xfId="15" applyNumberFormat="1" applyFont="1" applyFill="1" applyBorder="1" applyAlignment="1">
      <alignment vertical="center"/>
    </xf>
    <xf numFmtId="166" fontId="3" fillId="5" borderId="4" xfId="15" applyNumberFormat="1" applyFont="1" applyFill="1" applyBorder="1" applyAlignment="1">
      <alignment vertical="center"/>
    </xf>
    <xf numFmtId="49" fontId="56" fillId="0" borderId="2" xfId="0" applyNumberFormat="1" applyFont="1" applyBorder="1" applyAlignment="1">
      <alignment horizontal="left" wrapText="1"/>
    </xf>
    <xf numFmtId="171" fontId="56" fillId="0" borderId="2" xfId="0" applyNumberFormat="1" applyFont="1" applyBorder="1" applyAlignment="1">
      <alignment horizontal="right"/>
    </xf>
    <xf numFmtId="49" fontId="56" fillId="0" borderId="0" xfId="0" applyNumberFormat="1" applyFont="1" applyAlignment="1">
      <alignment horizontal="left" wrapText="1"/>
    </xf>
    <xf numFmtId="171" fontId="56" fillId="0" borderId="0" xfId="0" applyNumberFormat="1" applyFont="1" applyAlignment="1">
      <alignment horizontal="right"/>
    </xf>
    <xf numFmtId="166" fontId="3" fillId="6" borderId="4" xfId="15" applyNumberFormat="1" applyFont="1" applyFill="1" applyBorder="1" applyAlignment="1">
      <alignment vertical="center"/>
    </xf>
    <xf numFmtId="166" fontId="2" fillId="6" borderId="4" xfId="15" applyNumberFormat="1" applyFont="1" applyFill="1" applyBorder="1" applyAlignment="1">
      <alignment vertical="center"/>
    </xf>
    <xf numFmtId="166" fontId="2" fillId="6" borderId="6" xfId="15" applyNumberFormat="1" applyFont="1" applyFill="1" applyBorder="1" applyAlignment="1">
      <alignment vertical="center"/>
    </xf>
    <xf numFmtId="3" fontId="3" fillId="2" borderId="16" xfId="13" applyNumberFormat="1" applyFont="1" applyFill="1" applyBorder="1" applyAlignment="1">
      <alignment horizontal="right" vertical="center" wrapText="1"/>
    </xf>
    <xf numFmtId="3" fontId="2" fillId="2" borderId="16" xfId="13" applyNumberFormat="1" applyFont="1" applyFill="1" applyBorder="1" applyAlignment="1">
      <alignment horizontal="right" vertical="center" wrapText="1"/>
    </xf>
    <xf numFmtId="3" fontId="2" fillId="2" borderId="7" xfId="13" applyNumberFormat="1" applyFont="1" applyFill="1" applyBorder="1" applyAlignment="1">
      <alignment horizontal="right" vertical="center" wrapText="1"/>
    </xf>
    <xf numFmtId="9" fontId="2" fillId="2" borderId="16" xfId="22" applyFont="1" applyFill="1" applyBorder="1" applyAlignment="1">
      <alignment horizontal="right" vertical="center" wrapText="1"/>
    </xf>
    <xf numFmtId="9" fontId="3" fillId="2" borderId="16" xfId="22" applyFont="1" applyFill="1" applyBorder="1" applyAlignment="1">
      <alignment horizontal="right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0" fontId="2" fillId="2" borderId="4" xfId="13" applyFont="1" applyFill="1" applyBorder="1" applyAlignment="1">
      <alignment horizontal="center" vertical="center" wrapText="1"/>
    </xf>
    <xf numFmtId="0" fontId="3" fillId="2" borderId="6" xfId="13" applyFont="1" applyFill="1" applyBorder="1" applyAlignment="1">
      <alignment horizontal="center" vertical="center" wrapText="1"/>
    </xf>
    <xf numFmtId="0" fontId="3" fillId="2" borderId="14" xfId="13" applyFont="1" applyFill="1" applyBorder="1" applyAlignment="1">
      <alignment horizontal="center" vertical="center" wrapText="1"/>
    </xf>
    <xf numFmtId="0" fontId="2" fillId="0" borderId="16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wrapText="1"/>
    </xf>
    <xf numFmtId="9" fontId="2" fillId="2" borderId="7" xfId="22" applyFont="1" applyFill="1" applyBorder="1" applyAlignment="1">
      <alignment horizontal="right" vertical="center" wrapText="1"/>
    </xf>
    <xf numFmtId="3" fontId="3" fillId="2" borderId="2" xfId="13" applyNumberFormat="1" applyFont="1" applyFill="1" applyBorder="1" applyAlignment="1">
      <alignment horizontal="right" vertical="center" wrapText="1"/>
    </xf>
    <xf numFmtId="9" fontId="3" fillId="2" borderId="2" xfId="22" applyFont="1" applyFill="1" applyBorder="1" applyAlignment="1">
      <alignment horizontal="right" vertical="center" wrapText="1"/>
    </xf>
    <xf numFmtId="166" fontId="2" fillId="0" borderId="4" xfId="15" applyNumberFormat="1" applyFont="1" applyFill="1" applyBorder="1" applyAlignment="1">
      <alignment vertical="center"/>
    </xf>
    <xf numFmtId="166" fontId="2" fillId="0" borderId="5" xfId="15" applyNumberFormat="1" applyFont="1" applyFill="1" applyBorder="1" applyAlignment="1">
      <alignment vertical="center"/>
    </xf>
    <xf numFmtId="166" fontId="3" fillId="0" borderId="4" xfId="15" applyNumberFormat="1" applyFont="1" applyFill="1" applyBorder="1" applyAlignment="1">
      <alignment vertical="center"/>
    </xf>
    <xf numFmtId="166" fontId="3" fillId="0" borderId="7" xfId="15" applyNumberFormat="1" applyFont="1" applyFill="1" applyBorder="1" applyAlignment="1">
      <alignment vertical="center"/>
    </xf>
    <xf numFmtId="3" fontId="3" fillId="2" borderId="14" xfId="13" applyNumberFormat="1" applyFont="1" applyFill="1" applyBorder="1" applyAlignment="1">
      <alignment horizontal="left" vertical="center" wrapText="1"/>
    </xf>
    <xf numFmtId="3" fontId="3" fillId="2" borderId="14" xfId="13" applyNumberFormat="1" applyFont="1" applyFill="1" applyBorder="1" applyAlignment="1">
      <alignment horizontal="right" vertical="center" wrapText="1"/>
    </xf>
    <xf numFmtId="166" fontId="3" fillId="2" borderId="14" xfId="15" applyNumberFormat="1" applyFont="1" applyFill="1" applyBorder="1" applyAlignment="1">
      <alignment vertical="center"/>
    </xf>
    <xf numFmtId="3" fontId="3" fillId="0" borderId="2" xfId="13" applyNumberFormat="1" applyFont="1" applyBorder="1" applyAlignment="1">
      <alignment horizontal="left" vertical="center" wrapText="1"/>
    </xf>
    <xf numFmtId="166" fontId="3" fillId="0" borderId="2" xfId="15" applyNumberFormat="1" applyFont="1" applyFill="1" applyBorder="1" applyAlignment="1">
      <alignment horizontal="right" vertical="center"/>
    </xf>
    <xf numFmtId="3" fontId="2" fillId="0" borderId="16" xfId="13" applyNumberFormat="1" applyFont="1" applyBorder="1" applyAlignment="1">
      <alignment horizontal="left" vertical="center" wrapText="1"/>
    </xf>
    <xf numFmtId="3" fontId="2" fillId="0" borderId="16" xfId="13" applyNumberFormat="1" applyFont="1" applyBorder="1" applyAlignment="1">
      <alignment horizontal="right" vertical="center" wrapText="1"/>
    </xf>
    <xf numFmtId="166" fontId="2" fillId="0" borderId="16" xfId="15" applyNumberFormat="1" applyFont="1" applyFill="1" applyBorder="1" applyAlignment="1">
      <alignment vertical="center"/>
    </xf>
    <xf numFmtId="168" fontId="2" fillId="0" borderId="4" xfId="7" applyNumberFormat="1" applyFont="1" applyFill="1" applyBorder="1" applyAlignment="1">
      <alignment horizontal="center" vertical="center" wrapText="1"/>
    </xf>
    <xf numFmtId="3" fontId="2" fillId="0" borderId="5" xfId="13" applyNumberFormat="1" applyFont="1" applyBorder="1" applyAlignment="1">
      <alignment horizontal="right" vertical="center" wrapText="1"/>
    </xf>
    <xf numFmtId="166" fontId="3" fillId="0" borderId="2" xfId="15" applyNumberFormat="1" applyFont="1" applyFill="1" applyBorder="1" applyAlignment="1">
      <alignment vertical="center"/>
    </xf>
    <xf numFmtId="3" fontId="2" fillId="0" borderId="1" xfId="13" applyNumberFormat="1" applyFont="1" applyBorder="1" applyAlignment="1">
      <alignment horizontal="right" vertical="center" wrapText="1"/>
    </xf>
    <xf numFmtId="166" fontId="2" fillId="0" borderId="1" xfId="15" applyNumberFormat="1" applyFont="1" applyFill="1" applyBorder="1" applyAlignment="1">
      <alignment vertical="center"/>
    </xf>
    <xf numFmtId="166" fontId="2" fillId="2" borderId="5" xfId="15" applyNumberFormat="1" applyFont="1" applyFill="1" applyBorder="1" applyAlignment="1">
      <alignment vertical="center"/>
    </xf>
    <xf numFmtId="3" fontId="2" fillId="0" borderId="6" xfId="13" applyNumberFormat="1" applyFont="1" applyBorder="1" applyAlignment="1">
      <alignment horizontal="left" vertical="center" wrapText="1"/>
    </xf>
    <xf numFmtId="3" fontId="2" fillId="0" borderId="6" xfId="13" applyNumberFormat="1" applyFont="1" applyBorder="1" applyAlignment="1">
      <alignment horizontal="right" vertical="center" wrapText="1"/>
    </xf>
    <xf numFmtId="166" fontId="2" fillId="0" borderId="6" xfId="15" applyNumberFormat="1" applyFont="1" applyFill="1" applyBorder="1" applyAlignment="1">
      <alignment vertical="center"/>
    </xf>
    <xf numFmtId="3" fontId="2" fillId="0" borderId="6" xfId="13" applyNumberFormat="1" applyFont="1" applyBorder="1" applyAlignment="1">
      <alignment horizontal="left" wrapText="1"/>
    </xf>
    <xf numFmtId="3" fontId="2" fillId="0" borderId="6" xfId="13" applyNumberFormat="1" applyFont="1" applyBorder="1" applyAlignment="1">
      <alignment horizontal="right" wrapText="1"/>
    </xf>
    <xf numFmtId="166" fontId="2" fillId="0" borderId="6" xfId="15" applyNumberFormat="1" applyFont="1" applyFill="1" applyBorder="1"/>
    <xf numFmtId="0" fontId="2" fillId="2" borderId="16" xfId="13" applyFont="1" applyFill="1" applyBorder="1" applyAlignment="1">
      <alignment horizontal="center" vertical="center" wrapText="1"/>
    </xf>
    <xf numFmtId="0" fontId="2" fillId="2" borderId="16" xfId="13" applyFont="1" applyFill="1" applyBorder="1" applyAlignment="1">
      <alignment vertical="center" wrapText="1"/>
    </xf>
    <xf numFmtId="3" fontId="2" fillId="0" borderId="0" xfId="13" applyNumberFormat="1" applyFont="1"/>
    <xf numFmtId="0" fontId="7" fillId="0" borderId="0" xfId="13" applyFont="1" applyAlignment="1">
      <alignment wrapText="1"/>
    </xf>
    <xf numFmtId="0" fontId="7" fillId="0" borderId="0" xfId="13" applyFont="1" applyAlignment="1">
      <alignment horizontal="center"/>
    </xf>
    <xf numFmtId="0" fontId="3" fillId="0" borderId="0" xfId="12" applyFont="1" applyAlignment="1">
      <alignment horizontal="left" vertical="center" wrapText="1"/>
    </xf>
    <xf numFmtId="0" fontId="9" fillId="0" borderId="0" xfId="12" applyFont="1" applyAlignment="1">
      <alignment horizontal="left" vertical="center" wrapText="1"/>
    </xf>
    <xf numFmtId="0" fontId="3" fillId="0" borderId="0" xfId="12" applyFont="1" applyAlignment="1">
      <alignment horizontal="center" vertical="center" wrapText="1"/>
    </xf>
    <xf numFmtId="0" fontId="8" fillId="0" borderId="8" xfId="13" applyFont="1" applyBorder="1" applyAlignment="1">
      <alignment horizontal="right" vertical="center"/>
    </xf>
    <xf numFmtId="0" fontId="8" fillId="0" borderId="15" xfId="13" applyFont="1" applyBorder="1" applyAlignment="1">
      <alignment horizontal="left" vertical="top" wrapText="1"/>
    </xf>
    <xf numFmtId="0" fontId="22" fillId="0" borderId="0" xfId="13" applyFont="1" applyAlignment="1">
      <alignment horizontal="center"/>
    </xf>
    <xf numFmtId="0" fontId="7" fillId="0" borderId="0" xfId="13" applyFont="1" applyAlignment="1">
      <alignment horizontal="left" wrapText="1"/>
    </xf>
    <xf numFmtId="0" fontId="7" fillId="0" borderId="0" xfId="12" applyFont="1" applyAlignment="1">
      <alignment horizontal="left" vertical="center" wrapText="1"/>
    </xf>
    <xf numFmtId="0" fontId="34" fillId="0" borderId="0" xfId="13" applyFont="1" applyAlignment="1">
      <alignment horizontal="center" vertical="center"/>
    </xf>
    <xf numFmtId="0" fontId="21" fillId="0" borderId="8" xfId="13" applyFont="1" applyBorder="1" applyAlignment="1">
      <alignment horizontal="right" vertical="center"/>
    </xf>
    <xf numFmtId="0" fontId="7" fillId="0" borderId="0" xfId="19" applyFont="1" applyAlignment="1">
      <alignment horizontal="center" vertical="center" wrapText="1"/>
    </xf>
    <xf numFmtId="0" fontId="7" fillId="0" borderId="0" xfId="19" applyFont="1" applyAlignment="1">
      <alignment horizontal="center" vertical="center"/>
    </xf>
    <xf numFmtId="0" fontId="22" fillId="0" borderId="0" xfId="19" applyFont="1" applyAlignment="1">
      <alignment horizontal="center" vertical="center"/>
    </xf>
    <xf numFmtId="3" fontId="22" fillId="0" borderId="0" xfId="19" applyNumberFormat="1" applyFont="1" applyAlignment="1">
      <alignment horizontal="center" vertical="center"/>
    </xf>
    <xf numFmtId="0" fontId="7" fillId="0" borderId="0" xfId="20" applyFont="1" applyAlignment="1">
      <alignment horizontal="center"/>
    </xf>
    <xf numFmtId="0" fontId="22" fillId="0" borderId="0" xfId="16" applyFont="1" applyAlignment="1">
      <alignment horizontal="center"/>
    </xf>
    <xf numFmtId="0" fontId="9" fillId="0" borderId="0" xfId="16" applyFont="1" applyAlignment="1">
      <alignment horizontal="center"/>
    </xf>
    <xf numFmtId="0" fontId="9" fillId="0" borderId="0" xfId="19" applyFont="1" applyAlignment="1">
      <alignment horizontal="center" vertical="center"/>
    </xf>
    <xf numFmtId="0" fontId="7" fillId="0" borderId="0" xfId="16" applyFont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9" xfId="16" applyFont="1" applyBorder="1" applyAlignment="1">
      <alignment horizontal="center" vertical="center"/>
    </xf>
    <xf numFmtId="0" fontId="7" fillId="0" borderId="10" xfId="16" applyFont="1" applyBorder="1" applyAlignment="1">
      <alignment horizontal="center" vertical="center"/>
    </xf>
    <xf numFmtId="0" fontId="7" fillId="0" borderId="11" xfId="16" applyFont="1" applyBorder="1" applyAlignment="1">
      <alignment horizontal="center" vertical="center"/>
    </xf>
    <xf numFmtId="0" fontId="7" fillId="0" borderId="9" xfId="16" applyFont="1" applyBorder="1" applyAlignment="1">
      <alignment horizontal="center" vertical="center" wrapText="1"/>
    </xf>
    <xf numFmtId="0" fontId="7" fillId="0" borderId="10" xfId="16" applyFont="1" applyBorder="1" applyAlignment="1">
      <alignment horizontal="center" vertical="center" wrapText="1"/>
    </xf>
    <xf numFmtId="0" fontId="7" fillId="0" borderId="11" xfId="16" applyFont="1" applyBorder="1" applyAlignment="1">
      <alignment horizontal="center" vertical="center" wrapText="1"/>
    </xf>
    <xf numFmtId="0" fontId="7" fillId="0" borderId="0" xfId="13" applyFont="1" applyAlignment="1">
      <alignment vertical="center" wrapText="1"/>
    </xf>
    <xf numFmtId="0" fontId="7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 wrapText="1"/>
    </xf>
    <xf numFmtId="0" fontId="22" fillId="0" borderId="8" xfId="13" applyFont="1" applyBorder="1" applyAlignment="1">
      <alignment horizontal="right" vertical="center" wrapText="1"/>
    </xf>
    <xf numFmtId="0" fontId="7" fillId="0" borderId="0" xfId="13" applyFont="1" applyAlignment="1">
      <alignment horizontal="left" vertical="center" wrapText="1"/>
    </xf>
    <xf numFmtId="0" fontId="8" fillId="0" borderId="15" xfId="13" applyFont="1" applyBorder="1" applyAlignment="1">
      <alignment horizontal="center" vertical="center"/>
    </xf>
    <xf numFmtId="0" fontId="22" fillId="0" borderId="0" xfId="13" applyFont="1" applyAlignment="1">
      <alignment horizontal="center" vertical="center"/>
    </xf>
    <xf numFmtId="0" fontId="3" fillId="0" borderId="0" xfId="5" applyFont="1" applyAlignment="1">
      <alignment horizontal="center"/>
    </xf>
    <xf numFmtId="0" fontId="2" fillId="0" borderId="0" xfId="5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21" fillId="0" borderId="8" xfId="5" applyFont="1" applyBorder="1" applyAlignment="1">
      <alignment horizontal="right" vertical="center"/>
    </xf>
    <xf numFmtId="0" fontId="11" fillId="0" borderId="0" xfId="5" applyFont="1" applyAlignment="1">
      <alignment horizontal="left" vertical="center"/>
    </xf>
    <xf numFmtId="0" fontId="23" fillId="0" borderId="0" xfId="5" applyFont="1" applyAlignment="1">
      <alignment horizontal="center" vertical="center"/>
    </xf>
    <xf numFmtId="0" fontId="10" fillId="0" borderId="8" xfId="3" applyFont="1" applyBorder="1" applyAlignment="1">
      <alignment horizontal="right"/>
    </xf>
    <xf numFmtId="0" fontId="47" fillId="2" borderId="17" xfId="5" applyFont="1" applyFill="1" applyBorder="1" applyAlignment="1">
      <alignment horizontal="left" vertical="center" wrapText="1"/>
    </xf>
    <xf numFmtId="0" fontId="47" fillId="2" borderId="18" xfId="5" applyFont="1" applyFill="1" applyBorder="1" applyAlignment="1">
      <alignment horizontal="left" vertical="center" wrapText="1"/>
    </xf>
    <xf numFmtId="0" fontId="47" fillId="2" borderId="19" xfId="5" applyFont="1" applyFill="1" applyBorder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8" fillId="0" borderId="8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 wrapText="1"/>
    </xf>
    <xf numFmtId="0" fontId="3" fillId="2" borderId="12" xfId="6" applyFont="1" applyFill="1" applyBorder="1" applyAlignment="1">
      <alignment horizontal="left" vertical="center"/>
    </xf>
    <xf numFmtId="0" fontId="3" fillId="2" borderId="15" xfId="6" applyFont="1" applyFill="1" applyBorder="1" applyAlignment="1">
      <alignment horizontal="left" vertical="center"/>
    </xf>
    <xf numFmtId="0" fontId="3" fillId="2" borderId="13" xfId="6" applyFont="1" applyFill="1" applyBorder="1" applyAlignment="1">
      <alignment horizontal="left" vertical="center"/>
    </xf>
    <xf numFmtId="0" fontId="3" fillId="2" borderId="9" xfId="6" applyFont="1" applyFill="1" applyBorder="1" applyAlignment="1">
      <alignment horizontal="left" vertical="center" wrapText="1"/>
    </xf>
    <xf numFmtId="0" fontId="3" fillId="2" borderId="10" xfId="6" applyFont="1" applyFill="1" applyBorder="1" applyAlignment="1">
      <alignment horizontal="left" vertical="center" wrapText="1"/>
    </xf>
    <xf numFmtId="0" fontId="3" fillId="2" borderId="11" xfId="6" applyFont="1" applyFill="1" applyBorder="1" applyAlignment="1">
      <alignment horizontal="left" vertical="center" wrapText="1"/>
    </xf>
    <xf numFmtId="0" fontId="3" fillId="0" borderId="9" xfId="5" applyFont="1" applyBorder="1" applyAlignment="1">
      <alignment horizontal="left" vertical="center"/>
    </xf>
    <xf numFmtId="0" fontId="3" fillId="0" borderId="10" xfId="5" applyFont="1" applyBorder="1" applyAlignment="1">
      <alignment horizontal="left" vertical="center"/>
    </xf>
    <xf numFmtId="0" fontId="3" fillId="0" borderId="11" xfId="5" applyFont="1" applyBorder="1" applyAlignment="1">
      <alignment horizontal="left" vertical="center"/>
    </xf>
    <xf numFmtId="0" fontId="22" fillId="0" borderId="0" xfId="2" applyFont="1" applyAlignment="1">
      <alignment horizontal="center" vertical="center" wrapText="1"/>
    </xf>
    <xf numFmtId="0" fontId="3" fillId="0" borderId="8" xfId="5" applyFont="1" applyBorder="1" applyAlignment="1">
      <alignment horizontal="center" vertical="center"/>
    </xf>
    <xf numFmtId="0" fontId="2" fillId="0" borderId="8" xfId="5" applyBorder="1" applyAlignment="1">
      <alignment horizontal="center" vertical="center"/>
    </xf>
  </cellXfs>
  <cellStyles count="23">
    <cellStyle name="Comma" xfId="17" builtinId="3"/>
    <cellStyle name="Comma 2" xfId="7" xr:uid="{00000000-0005-0000-0000-000001000000}"/>
    <cellStyle name="Comma 2 4" xfId="8" xr:uid="{00000000-0005-0000-0000-000002000000}"/>
    <cellStyle name="Comma 3" xfId="15" xr:uid="{00000000-0005-0000-0000-000003000000}"/>
    <cellStyle name="Comma 3 2" xfId="4" xr:uid="{00000000-0005-0000-0000-000004000000}"/>
    <cellStyle name="Comma 4" xfId="10" xr:uid="{00000000-0005-0000-0000-000005000000}"/>
    <cellStyle name="Comma 5" xfId="21" xr:uid="{00000000-0005-0000-0000-000006000000}"/>
    <cellStyle name="Excel Built-in Normal" xfId="11" xr:uid="{00000000-0005-0000-0000-000007000000}"/>
    <cellStyle name="Normal" xfId="0" builtinId="0"/>
    <cellStyle name="Normal 2" xfId="5" xr:uid="{00000000-0005-0000-0000-000009000000}"/>
    <cellStyle name="Normal 2 2" xfId="2" xr:uid="{00000000-0005-0000-0000-00000A000000}"/>
    <cellStyle name="Normal 2 3" xfId="9" xr:uid="{00000000-0005-0000-0000-00000B000000}"/>
    <cellStyle name="Normal 3" xfId="6" xr:uid="{00000000-0005-0000-0000-00000C000000}"/>
    <cellStyle name="Normal 3 2" xfId="19" xr:uid="{00000000-0005-0000-0000-00000D000000}"/>
    <cellStyle name="Normal 4" xfId="3" xr:uid="{00000000-0005-0000-0000-00000E000000}"/>
    <cellStyle name="Normal 5" xfId="18" xr:uid="{00000000-0005-0000-0000-00000F000000}"/>
    <cellStyle name="Normal 6" xfId="1" xr:uid="{00000000-0005-0000-0000-000010000000}"/>
    <cellStyle name="Normal 7" xfId="12" xr:uid="{00000000-0005-0000-0000-000011000000}"/>
    <cellStyle name="Normal 8" xfId="20" xr:uid="{00000000-0005-0000-0000-000012000000}"/>
    <cellStyle name="Normal_Bao cao du toan 2017 - Truong DH Dien luc" xfId="13" xr:uid="{00000000-0005-0000-0000-000013000000}"/>
    <cellStyle name="Normal_Dao tao_Mau Dang ky ke hoach nam 2017 2" xfId="16" xr:uid="{00000000-0005-0000-0000-000014000000}"/>
    <cellStyle name="Percent" xfId="22" builtinId="5"/>
    <cellStyle name="Percent 2" xfId="14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19050</xdr:rowOff>
    </xdr:from>
    <xdr:to>
      <xdr:col>1</xdr:col>
      <xdr:colOff>2257425</xdr:colOff>
      <xdr:row>2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>
          <a:spLocks noChangeShapeType="1"/>
        </xdr:cNvSpPr>
      </xdr:nvSpPr>
      <xdr:spPr bwMode="auto">
        <a:xfrm>
          <a:off x="1295400" y="38100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19050</xdr:rowOff>
    </xdr:from>
    <xdr:to>
      <xdr:col>1</xdr:col>
      <xdr:colOff>2257425</xdr:colOff>
      <xdr:row>2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>
          <a:spLocks noChangeShapeType="1"/>
        </xdr:cNvSpPr>
      </xdr:nvSpPr>
      <xdr:spPr bwMode="auto">
        <a:xfrm>
          <a:off x="1133475" y="409575"/>
          <a:ext cx="1647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0</xdr:rowOff>
    </xdr:from>
    <xdr:to>
      <xdr:col>1</xdr:col>
      <xdr:colOff>1262385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CxnSpPr/>
      </xdr:nvCxnSpPr>
      <xdr:spPr>
        <a:xfrm flipV="1">
          <a:off x="247650" y="361950"/>
          <a:ext cx="111951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0</xdr:rowOff>
    </xdr:from>
    <xdr:to>
      <xdr:col>1</xdr:col>
      <xdr:colOff>1262385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CxnSpPr/>
      </xdr:nvCxnSpPr>
      <xdr:spPr>
        <a:xfrm flipV="1">
          <a:off x="247650" y="400050"/>
          <a:ext cx="150051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7870;%20HO&#7840;CH%20N&#258;M%202024\K&#7870;%20HO&#7840;CH%202024%20(25.12.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xz"/>
      <sheetName val="Mau 10 VON DTPT"/>
      <sheetName val="Danh sách "/>
      <sheetName val="Tong KH 2024"/>
      <sheetName val="Tong KH 2024 (2)"/>
      <sheetName val="Chi thường xuyên"/>
      <sheetName val="Chi thường xuyên (in)"/>
      <sheetName val="OK - Dien nuoc (M7)"/>
      <sheetName val="M4.1 TTTNTH 14-12 "/>
      <sheetName val="OK - TX (M4)"/>
      <sheetName val="ĐTTX"/>
      <sheetName val="M1"/>
      <sheetName val="ĐTTX 2024"/>
      <sheetName val="CS2 "/>
      <sheetName val="CHI DV"/>
      <sheetName val="Mau 3"/>
      <sheetName val="Mau 3 (2)"/>
      <sheetName val="OK - M4.1 ĐT"/>
      <sheetName val="ART"/>
      <sheetName val="Khoa hoc (M8) "/>
      <sheetName val="TTDVDS CS1"/>
      <sheetName val="OK - VT Thuc hanh (M5) "/>
      <sheetName val="OK - SC (M9)"/>
      <sheetName val="M10 VON DTPT"/>
      <sheetName val="OK - M10 HCQT VON DTPT"/>
      <sheetName val="KH vốn- CTĐT"/>
      <sheetName val="Sheet1"/>
    </sheetNames>
    <sheetDataSet>
      <sheetData sheetId="0"/>
      <sheetData sheetId="1"/>
      <sheetData sheetId="2"/>
      <sheetData sheetId="3">
        <row r="39">
          <cell r="E39">
            <v>49903.392</v>
          </cell>
        </row>
        <row r="40">
          <cell r="E40">
            <v>10756.14552</v>
          </cell>
        </row>
        <row r="41">
          <cell r="E41">
            <v>5256</v>
          </cell>
        </row>
        <row r="42">
          <cell r="E42">
            <v>3000</v>
          </cell>
        </row>
        <row r="46">
          <cell r="E46">
            <v>1500</v>
          </cell>
        </row>
        <row r="61">
          <cell r="E61">
            <v>250</v>
          </cell>
        </row>
      </sheetData>
      <sheetData sheetId="4">
        <row r="60">
          <cell r="E60">
            <v>18000</v>
          </cell>
        </row>
      </sheetData>
      <sheetData sheetId="5"/>
      <sheetData sheetId="6"/>
      <sheetData sheetId="7">
        <row r="8">
          <cell r="E8">
            <v>4400</v>
          </cell>
        </row>
        <row r="11">
          <cell r="E11">
            <v>5370</v>
          </cell>
        </row>
        <row r="21">
          <cell r="E21">
            <v>1850</v>
          </cell>
        </row>
        <row r="26">
          <cell r="E26">
            <v>2500</v>
          </cell>
        </row>
        <row r="28">
          <cell r="E28">
            <v>1300</v>
          </cell>
        </row>
        <row r="29">
          <cell r="E29">
            <v>1200</v>
          </cell>
        </row>
        <row r="30">
          <cell r="E30">
            <v>250</v>
          </cell>
        </row>
        <row r="31">
          <cell r="E31">
            <v>2000</v>
          </cell>
        </row>
        <row r="32">
          <cell r="E32">
            <v>250</v>
          </cell>
        </row>
        <row r="33">
          <cell r="E33">
            <v>500</v>
          </cell>
        </row>
        <row r="34">
          <cell r="E34">
            <v>160</v>
          </cell>
        </row>
        <row r="35">
          <cell r="E35">
            <v>260</v>
          </cell>
        </row>
        <row r="37">
          <cell r="E37">
            <v>100</v>
          </cell>
        </row>
        <row r="43">
          <cell r="E43">
            <v>400</v>
          </cell>
        </row>
        <row r="44">
          <cell r="E44">
            <v>45</v>
          </cell>
        </row>
        <row r="45">
          <cell r="E45">
            <v>300</v>
          </cell>
        </row>
        <row r="46">
          <cell r="E46">
            <v>300</v>
          </cell>
        </row>
      </sheetData>
      <sheetData sheetId="8"/>
      <sheetData sheetId="9">
        <row r="133">
          <cell r="J133">
            <v>5798.94</v>
          </cell>
        </row>
      </sheetData>
      <sheetData sheetId="10"/>
      <sheetData sheetId="11"/>
      <sheetData sheetId="12"/>
      <sheetData sheetId="13">
        <row r="14">
          <cell r="F14">
            <v>8347</v>
          </cell>
        </row>
      </sheetData>
      <sheetData sheetId="14"/>
      <sheetData sheetId="15">
        <row r="41">
          <cell r="D41">
            <v>20000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74">
          <cell r="G74">
            <v>12918.5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K152"/>
  <sheetViews>
    <sheetView zoomScale="115" zoomScaleNormal="115" workbookViewId="0">
      <selection activeCell="G15" sqref="G15"/>
    </sheetView>
  </sheetViews>
  <sheetFormatPr defaultRowHeight="15.5" x14ac:dyDescent="0.35"/>
  <cols>
    <col min="1" max="1" width="6.08984375" style="269" customWidth="1"/>
    <col min="2" max="2" width="35.54296875" style="270" customWidth="1"/>
    <col min="3" max="3" width="14.453125" style="270" hidden="1" customWidth="1"/>
    <col min="4" max="4" width="14.6328125" style="267" customWidth="1"/>
    <col min="5" max="5" width="30.90625" style="267" customWidth="1"/>
    <col min="6" max="6" width="22.54296875" style="267" customWidth="1"/>
    <col min="7" max="7" width="10.36328125" style="267" customWidth="1"/>
    <col min="8" max="9" width="18.6328125" style="267" customWidth="1"/>
    <col min="10" max="253" width="9.08984375" style="267"/>
    <col min="254" max="254" width="6.08984375" style="267" customWidth="1"/>
    <col min="255" max="255" width="42.90625" style="267" customWidth="1"/>
    <col min="256" max="258" width="0" style="267" hidden="1" customWidth="1"/>
    <col min="259" max="259" width="14.36328125" style="267" customWidth="1"/>
    <col min="260" max="260" width="26.453125" style="267" customWidth="1"/>
    <col min="261" max="261" width="20.6328125" style="267" customWidth="1"/>
    <col min="262" max="262" width="22.54296875" style="267" customWidth="1"/>
    <col min="263" max="263" width="10.36328125" style="267" customWidth="1"/>
    <col min="264" max="265" width="18.6328125" style="267" customWidth="1"/>
    <col min="266" max="509" width="9.08984375" style="267"/>
    <col min="510" max="510" width="6.08984375" style="267" customWidth="1"/>
    <col min="511" max="511" width="42.90625" style="267" customWidth="1"/>
    <col min="512" max="514" width="0" style="267" hidden="1" customWidth="1"/>
    <col min="515" max="515" width="14.36328125" style="267" customWidth="1"/>
    <col min="516" max="516" width="26.453125" style="267" customWidth="1"/>
    <col min="517" max="517" width="20.6328125" style="267" customWidth="1"/>
    <col min="518" max="518" width="22.54296875" style="267" customWidth="1"/>
    <col min="519" max="519" width="10.36328125" style="267" customWidth="1"/>
    <col min="520" max="521" width="18.6328125" style="267" customWidth="1"/>
    <col min="522" max="765" width="9.08984375" style="267"/>
    <col min="766" max="766" width="6.08984375" style="267" customWidth="1"/>
    <col min="767" max="767" width="42.90625" style="267" customWidth="1"/>
    <col min="768" max="770" width="0" style="267" hidden="1" customWidth="1"/>
    <col min="771" max="771" width="14.36328125" style="267" customWidth="1"/>
    <col min="772" max="772" width="26.453125" style="267" customWidth="1"/>
    <col min="773" max="773" width="20.6328125" style="267" customWidth="1"/>
    <col min="774" max="774" width="22.54296875" style="267" customWidth="1"/>
    <col min="775" max="775" width="10.36328125" style="267" customWidth="1"/>
    <col min="776" max="777" width="18.6328125" style="267" customWidth="1"/>
    <col min="778" max="1021" width="9.08984375" style="267"/>
    <col min="1022" max="1022" width="6.08984375" style="267" customWidth="1"/>
    <col min="1023" max="1023" width="42.90625" style="267" customWidth="1"/>
    <col min="1024" max="1026" width="0" style="267" hidden="1" customWidth="1"/>
    <col min="1027" max="1027" width="14.36328125" style="267" customWidth="1"/>
    <col min="1028" max="1028" width="26.453125" style="267" customWidth="1"/>
    <col min="1029" max="1029" width="20.6328125" style="267" customWidth="1"/>
    <col min="1030" max="1030" width="22.54296875" style="267" customWidth="1"/>
    <col min="1031" max="1031" width="10.36328125" style="267" customWidth="1"/>
    <col min="1032" max="1033" width="18.6328125" style="267" customWidth="1"/>
    <col min="1034" max="1277" width="9.08984375" style="267"/>
    <col min="1278" max="1278" width="6.08984375" style="267" customWidth="1"/>
    <col min="1279" max="1279" width="42.90625" style="267" customWidth="1"/>
    <col min="1280" max="1282" width="0" style="267" hidden="1" customWidth="1"/>
    <col min="1283" max="1283" width="14.36328125" style="267" customWidth="1"/>
    <col min="1284" max="1284" width="26.453125" style="267" customWidth="1"/>
    <col min="1285" max="1285" width="20.6328125" style="267" customWidth="1"/>
    <col min="1286" max="1286" width="22.54296875" style="267" customWidth="1"/>
    <col min="1287" max="1287" width="10.36328125" style="267" customWidth="1"/>
    <col min="1288" max="1289" width="18.6328125" style="267" customWidth="1"/>
    <col min="1290" max="1533" width="9.08984375" style="267"/>
    <col min="1534" max="1534" width="6.08984375" style="267" customWidth="1"/>
    <col min="1535" max="1535" width="42.90625" style="267" customWidth="1"/>
    <col min="1536" max="1538" width="0" style="267" hidden="1" customWidth="1"/>
    <col min="1539" max="1539" width="14.36328125" style="267" customWidth="1"/>
    <col min="1540" max="1540" width="26.453125" style="267" customWidth="1"/>
    <col min="1541" max="1541" width="20.6328125" style="267" customWidth="1"/>
    <col min="1542" max="1542" width="22.54296875" style="267" customWidth="1"/>
    <col min="1543" max="1543" width="10.36328125" style="267" customWidth="1"/>
    <col min="1544" max="1545" width="18.6328125" style="267" customWidth="1"/>
    <col min="1546" max="1789" width="9.08984375" style="267"/>
    <col min="1790" max="1790" width="6.08984375" style="267" customWidth="1"/>
    <col min="1791" max="1791" width="42.90625" style="267" customWidth="1"/>
    <col min="1792" max="1794" width="0" style="267" hidden="1" customWidth="1"/>
    <col min="1795" max="1795" width="14.36328125" style="267" customWidth="1"/>
    <col min="1796" max="1796" width="26.453125" style="267" customWidth="1"/>
    <col min="1797" max="1797" width="20.6328125" style="267" customWidth="1"/>
    <col min="1798" max="1798" width="22.54296875" style="267" customWidth="1"/>
    <col min="1799" max="1799" width="10.36328125" style="267" customWidth="1"/>
    <col min="1800" max="1801" width="18.6328125" style="267" customWidth="1"/>
    <col min="1802" max="2045" width="9.08984375" style="267"/>
    <col min="2046" max="2046" width="6.08984375" style="267" customWidth="1"/>
    <col min="2047" max="2047" width="42.90625" style="267" customWidth="1"/>
    <col min="2048" max="2050" width="0" style="267" hidden="1" customWidth="1"/>
    <col min="2051" max="2051" width="14.36328125" style="267" customWidth="1"/>
    <col min="2052" max="2052" width="26.453125" style="267" customWidth="1"/>
    <col min="2053" max="2053" width="20.6328125" style="267" customWidth="1"/>
    <col min="2054" max="2054" width="22.54296875" style="267" customWidth="1"/>
    <col min="2055" max="2055" width="10.36328125" style="267" customWidth="1"/>
    <col min="2056" max="2057" width="18.6328125" style="267" customWidth="1"/>
    <col min="2058" max="2301" width="9.08984375" style="267"/>
    <col min="2302" max="2302" width="6.08984375" style="267" customWidth="1"/>
    <col min="2303" max="2303" width="42.90625" style="267" customWidth="1"/>
    <col min="2304" max="2306" width="0" style="267" hidden="1" customWidth="1"/>
    <col min="2307" max="2307" width="14.36328125" style="267" customWidth="1"/>
    <col min="2308" max="2308" width="26.453125" style="267" customWidth="1"/>
    <col min="2309" max="2309" width="20.6328125" style="267" customWidth="1"/>
    <col min="2310" max="2310" width="22.54296875" style="267" customWidth="1"/>
    <col min="2311" max="2311" width="10.36328125" style="267" customWidth="1"/>
    <col min="2312" max="2313" width="18.6328125" style="267" customWidth="1"/>
    <col min="2314" max="2557" width="9.08984375" style="267"/>
    <col min="2558" max="2558" width="6.08984375" style="267" customWidth="1"/>
    <col min="2559" max="2559" width="42.90625" style="267" customWidth="1"/>
    <col min="2560" max="2562" width="0" style="267" hidden="1" customWidth="1"/>
    <col min="2563" max="2563" width="14.36328125" style="267" customWidth="1"/>
    <col min="2564" max="2564" width="26.453125" style="267" customWidth="1"/>
    <col min="2565" max="2565" width="20.6328125" style="267" customWidth="1"/>
    <col min="2566" max="2566" width="22.54296875" style="267" customWidth="1"/>
    <col min="2567" max="2567" width="10.36328125" style="267" customWidth="1"/>
    <col min="2568" max="2569" width="18.6328125" style="267" customWidth="1"/>
    <col min="2570" max="2813" width="9.08984375" style="267"/>
    <col min="2814" max="2814" width="6.08984375" style="267" customWidth="1"/>
    <col min="2815" max="2815" width="42.90625" style="267" customWidth="1"/>
    <col min="2816" max="2818" width="0" style="267" hidden="1" customWidth="1"/>
    <col min="2819" max="2819" width="14.36328125" style="267" customWidth="1"/>
    <col min="2820" max="2820" width="26.453125" style="267" customWidth="1"/>
    <col min="2821" max="2821" width="20.6328125" style="267" customWidth="1"/>
    <col min="2822" max="2822" width="22.54296875" style="267" customWidth="1"/>
    <col min="2823" max="2823" width="10.36328125" style="267" customWidth="1"/>
    <col min="2824" max="2825" width="18.6328125" style="267" customWidth="1"/>
    <col min="2826" max="3069" width="9.08984375" style="267"/>
    <col min="3070" max="3070" width="6.08984375" style="267" customWidth="1"/>
    <col min="3071" max="3071" width="42.90625" style="267" customWidth="1"/>
    <col min="3072" max="3074" width="0" style="267" hidden="1" customWidth="1"/>
    <col min="3075" max="3075" width="14.36328125" style="267" customWidth="1"/>
    <col min="3076" max="3076" width="26.453125" style="267" customWidth="1"/>
    <col min="3077" max="3077" width="20.6328125" style="267" customWidth="1"/>
    <col min="3078" max="3078" width="22.54296875" style="267" customWidth="1"/>
    <col min="3079" max="3079" width="10.36328125" style="267" customWidth="1"/>
    <col min="3080" max="3081" width="18.6328125" style="267" customWidth="1"/>
    <col min="3082" max="3325" width="9.08984375" style="267"/>
    <col min="3326" max="3326" width="6.08984375" style="267" customWidth="1"/>
    <col min="3327" max="3327" width="42.90625" style="267" customWidth="1"/>
    <col min="3328" max="3330" width="0" style="267" hidden="1" customWidth="1"/>
    <col min="3331" max="3331" width="14.36328125" style="267" customWidth="1"/>
    <col min="3332" max="3332" width="26.453125" style="267" customWidth="1"/>
    <col min="3333" max="3333" width="20.6328125" style="267" customWidth="1"/>
    <col min="3334" max="3334" width="22.54296875" style="267" customWidth="1"/>
    <col min="3335" max="3335" width="10.36328125" style="267" customWidth="1"/>
    <col min="3336" max="3337" width="18.6328125" style="267" customWidth="1"/>
    <col min="3338" max="3581" width="9.08984375" style="267"/>
    <col min="3582" max="3582" width="6.08984375" style="267" customWidth="1"/>
    <col min="3583" max="3583" width="42.90625" style="267" customWidth="1"/>
    <col min="3584" max="3586" width="0" style="267" hidden="1" customWidth="1"/>
    <col min="3587" max="3587" width="14.36328125" style="267" customWidth="1"/>
    <col min="3588" max="3588" width="26.453125" style="267" customWidth="1"/>
    <col min="3589" max="3589" width="20.6328125" style="267" customWidth="1"/>
    <col min="3590" max="3590" width="22.54296875" style="267" customWidth="1"/>
    <col min="3591" max="3591" width="10.36328125" style="267" customWidth="1"/>
    <col min="3592" max="3593" width="18.6328125" style="267" customWidth="1"/>
    <col min="3594" max="3837" width="9.08984375" style="267"/>
    <col min="3838" max="3838" width="6.08984375" style="267" customWidth="1"/>
    <col min="3839" max="3839" width="42.90625" style="267" customWidth="1"/>
    <col min="3840" max="3842" width="0" style="267" hidden="1" customWidth="1"/>
    <col min="3843" max="3843" width="14.36328125" style="267" customWidth="1"/>
    <col min="3844" max="3844" width="26.453125" style="267" customWidth="1"/>
    <col min="3845" max="3845" width="20.6328125" style="267" customWidth="1"/>
    <col min="3846" max="3846" width="22.54296875" style="267" customWidth="1"/>
    <col min="3847" max="3847" width="10.36328125" style="267" customWidth="1"/>
    <col min="3848" max="3849" width="18.6328125" style="267" customWidth="1"/>
    <col min="3850" max="4093" width="9.08984375" style="267"/>
    <col min="4094" max="4094" width="6.08984375" style="267" customWidth="1"/>
    <col min="4095" max="4095" width="42.90625" style="267" customWidth="1"/>
    <col min="4096" max="4098" width="0" style="267" hidden="1" customWidth="1"/>
    <col min="4099" max="4099" width="14.36328125" style="267" customWidth="1"/>
    <col min="4100" max="4100" width="26.453125" style="267" customWidth="1"/>
    <col min="4101" max="4101" width="20.6328125" style="267" customWidth="1"/>
    <col min="4102" max="4102" width="22.54296875" style="267" customWidth="1"/>
    <col min="4103" max="4103" width="10.36328125" style="267" customWidth="1"/>
    <col min="4104" max="4105" width="18.6328125" style="267" customWidth="1"/>
    <col min="4106" max="4349" width="9.08984375" style="267"/>
    <col min="4350" max="4350" width="6.08984375" style="267" customWidth="1"/>
    <col min="4351" max="4351" width="42.90625" style="267" customWidth="1"/>
    <col min="4352" max="4354" width="0" style="267" hidden="1" customWidth="1"/>
    <col min="4355" max="4355" width="14.36328125" style="267" customWidth="1"/>
    <col min="4356" max="4356" width="26.453125" style="267" customWidth="1"/>
    <col min="4357" max="4357" width="20.6328125" style="267" customWidth="1"/>
    <col min="4358" max="4358" width="22.54296875" style="267" customWidth="1"/>
    <col min="4359" max="4359" width="10.36328125" style="267" customWidth="1"/>
    <col min="4360" max="4361" width="18.6328125" style="267" customWidth="1"/>
    <col min="4362" max="4605" width="9.08984375" style="267"/>
    <col min="4606" max="4606" width="6.08984375" style="267" customWidth="1"/>
    <col min="4607" max="4607" width="42.90625" style="267" customWidth="1"/>
    <col min="4608" max="4610" width="0" style="267" hidden="1" customWidth="1"/>
    <col min="4611" max="4611" width="14.36328125" style="267" customWidth="1"/>
    <col min="4612" max="4612" width="26.453125" style="267" customWidth="1"/>
    <col min="4613" max="4613" width="20.6328125" style="267" customWidth="1"/>
    <col min="4614" max="4614" width="22.54296875" style="267" customWidth="1"/>
    <col min="4615" max="4615" width="10.36328125" style="267" customWidth="1"/>
    <col min="4616" max="4617" width="18.6328125" style="267" customWidth="1"/>
    <col min="4618" max="4861" width="9.08984375" style="267"/>
    <col min="4862" max="4862" width="6.08984375" style="267" customWidth="1"/>
    <col min="4863" max="4863" width="42.90625" style="267" customWidth="1"/>
    <col min="4864" max="4866" width="0" style="267" hidden="1" customWidth="1"/>
    <col min="4867" max="4867" width="14.36328125" style="267" customWidth="1"/>
    <col min="4868" max="4868" width="26.453125" style="267" customWidth="1"/>
    <col min="4869" max="4869" width="20.6328125" style="267" customWidth="1"/>
    <col min="4870" max="4870" width="22.54296875" style="267" customWidth="1"/>
    <col min="4871" max="4871" width="10.36328125" style="267" customWidth="1"/>
    <col min="4872" max="4873" width="18.6328125" style="267" customWidth="1"/>
    <col min="4874" max="5117" width="9.08984375" style="267"/>
    <col min="5118" max="5118" width="6.08984375" style="267" customWidth="1"/>
    <col min="5119" max="5119" width="42.90625" style="267" customWidth="1"/>
    <col min="5120" max="5122" width="0" style="267" hidden="1" customWidth="1"/>
    <col min="5123" max="5123" width="14.36328125" style="267" customWidth="1"/>
    <col min="5124" max="5124" width="26.453125" style="267" customWidth="1"/>
    <col min="5125" max="5125" width="20.6328125" style="267" customWidth="1"/>
    <col min="5126" max="5126" width="22.54296875" style="267" customWidth="1"/>
    <col min="5127" max="5127" width="10.36328125" style="267" customWidth="1"/>
    <col min="5128" max="5129" width="18.6328125" style="267" customWidth="1"/>
    <col min="5130" max="5373" width="9.08984375" style="267"/>
    <col min="5374" max="5374" width="6.08984375" style="267" customWidth="1"/>
    <col min="5375" max="5375" width="42.90625" style="267" customWidth="1"/>
    <col min="5376" max="5378" width="0" style="267" hidden="1" customWidth="1"/>
    <col min="5379" max="5379" width="14.36328125" style="267" customWidth="1"/>
    <col min="5380" max="5380" width="26.453125" style="267" customWidth="1"/>
    <col min="5381" max="5381" width="20.6328125" style="267" customWidth="1"/>
    <col min="5382" max="5382" width="22.54296875" style="267" customWidth="1"/>
    <col min="5383" max="5383" width="10.36328125" style="267" customWidth="1"/>
    <col min="5384" max="5385" width="18.6328125" style="267" customWidth="1"/>
    <col min="5386" max="5629" width="9.08984375" style="267"/>
    <col min="5630" max="5630" width="6.08984375" style="267" customWidth="1"/>
    <col min="5631" max="5631" width="42.90625" style="267" customWidth="1"/>
    <col min="5632" max="5634" width="0" style="267" hidden="1" customWidth="1"/>
    <col min="5635" max="5635" width="14.36328125" style="267" customWidth="1"/>
    <col min="5636" max="5636" width="26.453125" style="267" customWidth="1"/>
    <col min="5637" max="5637" width="20.6328125" style="267" customWidth="1"/>
    <col min="5638" max="5638" width="22.54296875" style="267" customWidth="1"/>
    <col min="5639" max="5639" width="10.36328125" style="267" customWidth="1"/>
    <col min="5640" max="5641" width="18.6328125" style="267" customWidth="1"/>
    <col min="5642" max="5885" width="9.08984375" style="267"/>
    <col min="5886" max="5886" width="6.08984375" style="267" customWidth="1"/>
    <col min="5887" max="5887" width="42.90625" style="267" customWidth="1"/>
    <col min="5888" max="5890" width="0" style="267" hidden="1" customWidth="1"/>
    <col min="5891" max="5891" width="14.36328125" style="267" customWidth="1"/>
    <col min="5892" max="5892" width="26.453125" style="267" customWidth="1"/>
    <col min="5893" max="5893" width="20.6328125" style="267" customWidth="1"/>
    <col min="5894" max="5894" width="22.54296875" style="267" customWidth="1"/>
    <col min="5895" max="5895" width="10.36328125" style="267" customWidth="1"/>
    <col min="5896" max="5897" width="18.6328125" style="267" customWidth="1"/>
    <col min="5898" max="6141" width="9.08984375" style="267"/>
    <col min="6142" max="6142" width="6.08984375" style="267" customWidth="1"/>
    <col min="6143" max="6143" width="42.90625" style="267" customWidth="1"/>
    <col min="6144" max="6146" width="0" style="267" hidden="1" customWidth="1"/>
    <col min="6147" max="6147" width="14.36328125" style="267" customWidth="1"/>
    <col min="6148" max="6148" width="26.453125" style="267" customWidth="1"/>
    <col min="6149" max="6149" width="20.6328125" style="267" customWidth="1"/>
    <col min="6150" max="6150" width="22.54296875" style="267" customWidth="1"/>
    <col min="6151" max="6151" width="10.36328125" style="267" customWidth="1"/>
    <col min="6152" max="6153" width="18.6328125" style="267" customWidth="1"/>
    <col min="6154" max="6397" width="9.08984375" style="267"/>
    <col min="6398" max="6398" width="6.08984375" style="267" customWidth="1"/>
    <col min="6399" max="6399" width="42.90625" style="267" customWidth="1"/>
    <col min="6400" max="6402" width="0" style="267" hidden="1" customWidth="1"/>
    <col min="6403" max="6403" width="14.36328125" style="267" customWidth="1"/>
    <col min="6404" max="6404" width="26.453125" style="267" customWidth="1"/>
    <col min="6405" max="6405" width="20.6328125" style="267" customWidth="1"/>
    <col min="6406" max="6406" width="22.54296875" style="267" customWidth="1"/>
    <col min="6407" max="6407" width="10.36328125" style="267" customWidth="1"/>
    <col min="6408" max="6409" width="18.6328125" style="267" customWidth="1"/>
    <col min="6410" max="6653" width="9.08984375" style="267"/>
    <col min="6654" max="6654" width="6.08984375" style="267" customWidth="1"/>
    <col min="6655" max="6655" width="42.90625" style="267" customWidth="1"/>
    <col min="6656" max="6658" width="0" style="267" hidden="1" customWidth="1"/>
    <col min="6659" max="6659" width="14.36328125" style="267" customWidth="1"/>
    <col min="6660" max="6660" width="26.453125" style="267" customWidth="1"/>
    <col min="6661" max="6661" width="20.6328125" style="267" customWidth="1"/>
    <col min="6662" max="6662" width="22.54296875" style="267" customWidth="1"/>
    <col min="6663" max="6663" width="10.36328125" style="267" customWidth="1"/>
    <col min="6664" max="6665" width="18.6328125" style="267" customWidth="1"/>
    <col min="6666" max="6909" width="9.08984375" style="267"/>
    <col min="6910" max="6910" width="6.08984375" style="267" customWidth="1"/>
    <col min="6911" max="6911" width="42.90625" style="267" customWidth="1"/>
    <col min="6912" max="6914" width="0" style="267" hidden="1" customWidth="1"/>
    <col min="6915" max="6915" width="14.36328125" style="267" customWidth="1"/>
    <col min="6916" max="6916" width="26.453125" style="267" customWidth="1"/>
    <col min="6917" max="6917" width="20.6328125" style="267" customWidth="1"/>
    <col min="6918" max="6918" width="22.54296875" style="267" customWidth="1"/>
    <col min="6919" max="6919" width="10.36328125" style="267" customWidth="1"/>
    <col min="6920" max="6921" width="18.6328125" style="267" customWidth="1"/>
    <col min="6922" max="7165" width="9.08984375" style="267"/>
    <col min="7166" max="7166" width="6.08984375" style="267" customWidth="1"/>
    <col min="7167" max="7167" width="42.90625" style="267" customWidth="1"/>
    <col min="7168" max="7170" width="0" style="267" hidden="1" customWidth="1"/>
    <col min="7171" max="7171" width="14.36328125" style="267" customWidth="1"/>
    <col min="7172" max="7172" width="26.453125" style="267" customWidth="1"/>
    <col min="7173" max="7173" width="20.6328125" style="267" customWidth="1"/>
    <col min="7174" max="7174" width="22.54296875" style="267" customWidth="1"/>
    <col min="7175" max="7175" width="10.36328125" style="267" customWidth="1"/>
    <col min="7176" max="7177" width="18.6328125" style="267" customWidth="1"/>
    <col min="7178" max="7421" width="9.08984375" style="267"/>
    <col min="7422" max="7422" width="6.08984375" style="267" customWidth="1"/>
    <col min="7423" max="7423" width="42.90625" style="267" customWidth="1"/>
    <col min="7424" max="7426" width="0" style="267" hidden="1" customWidth="1"/>
    <col min="7427" max="7427" width="14.36328125" style="267" customWidth="1"/>
    <col min="7428" max="7428" width="26.453125" style="267" customWidth="1"/>
    <col min="7429" max="7429" width="20.6328125" style="267" customWidth="1"/>
    <col min="7430" max="7430" width="22.54296875" style="267" customWidth="1"/>
    <col min="7431" max="7431" width="10.36328125" style="267" customWidth="1"/>
    <col min="7432" max="7433" width="18.6328125" style="267" customWidth="1"/>
    <col min="7434" max="7677" width="9.08984375" style="267"/>
    <col min="7678" max="7678" width="6.08984375" style="267" customWidth="1"/>
    <col min="7679" max="7679" width="42.90625" style="267" customWidth="1"/>
    <col min="7680" max="7682" width="0" style="267" hidden="1" customWidth="1"/>
    <col min="7683" max="7683" width="14.36328125" style="267" customWidth="1"/>
    <col min="7684" max="7684" width="26.453125" style="267" customWidth="1"/>
    <col min="7685" max="7685" width="20.6328125" style="267" customWidth="1"/>
    <col min="7686" max="7686" width="22.54296875" style="267" customWidth="1"/>
    <col min="7687" max="7687" width="10.36328125" style="267" customWidth="1"/>
    <col min="7688" max="7689" width="18.6328125" style="267" customWidth="1"/>
    <col min="7690" max="7933" width="9.08984375" style="267"/>
    <col min="7934" max="7934" width="6.08984375" style="267" customWidth="1"/>
    <col min="7935" max="7935" width="42.90625" style="267" customWidth="1"/>
    <col min="7936" max="7938" width="0" style="267" hidden="1" customWidth="1"/>
    <col min="7939" max="7939" width="14.36328125" style="267" customWidth="1"/>
    <col min="7940" max="7940" width="26.453125" style="267" customWidth="1"/>
    <col min="7941" max="7941" width="20.6328125" style="267" customWidth="1"/>
    <col min="7942" max="7942" width="22.54296875" style="267" customWidth="1"/>
    <col min="7943" max="7943" width="10.36328125" style="267" customWidth="1"/>
    <col min="7944" max="7945" width="18.6328125" style="267" customWidth="1"/>
    <col min="7946" max="8189" width="9.08984375" style="267"/>
    <col min="8190" max="8190" width="6.08984375" style="267" customWidth="1"/>
    <col min="8191" max="8191" width="42.90625" style="267" customWidth="1"/>
    <col min="8192" max="8194" width="0" style="267" hidden="1" customWidth="1"/>
    <col min="8195" max="8195" width="14.36328125" style="267" customWidth="1"/>
    <col min="8196" max="8196" width="26.453125" style="267" customWidth="1"/>
    <col min="8197" max="8197" width="20.6328125" style="267" customWidth="1"/>
    <col min="8198" max="8198" width="22.54296875" style="267" customWidth="1"/>
    <col min="8199" max="8199" width="10.36328125" style="267" customWidth="1"/>
    <col min="8200" max="8201" width="18.6328125" style="267" customWidth="1"/>
    <col min="8202" max="8445" width="9.08984375" style="267"/>
    <col min="8446" max="8446" width="6.08984375" style="267" customWidth="1"/>
    <col min="8447" max="8447" width="42.90625" style="267" customWidth="1"/>
    <col min="8448" max="8450" width="0" style="267" hidden="1" customWidth="1"/>
    <col min="8451" max="8451" width="14.36328125" style="267" customWidth="1"/>
    <col min="8452" max="8452" width="26.453125" style="267" customWidth="1"/>
    <col min="8453" max="8453" width="20.6328125" style="267" customWidth="1"/>
    <col min="8454" max="8454" width="22.54296875" style="267" customWidth="1"/>
    <col min="8455" max="8455" width="10.36328125" style="267" customWidth="1"/>
    <col min="8456" max="8457" width="18.6328125" style="267" customWidth="1"/>
    <col min="8458" max="8701" width="9.08984375" style="267"/>
    <col min="8702" max="8702" width="6.08984375" style="267" customWidth="1"/>
    <col min="8703" max="8703" width="42.90625" style="267" customWidth="1"/>
    <col min="8704" max="8706" width="0" style="267" hidden="1" customWidth="1"/>
    <col min="8707" max="8707" width="14.36328125" style="267" customWidth="1"/>
    <col min="8708" max="8708" width="26.453125" style="267" customWidth="1"/>
    <col min="8709" max="8709" width="20.6328125" style="267" customWidth="1"/>
    <col min="8710" max="8710" width="22.54296875" style="267" customWidth="1"/>
    <col min="8711" max="8711" width="10.36328125" style="267" customWidth="1"/>
    <col min="8712" max="8713" width="18.6328125" style="267" customWidth="1"/>
    <col min="8714" max="8957" width="9.08984375" style="267"/>
    <col min="8958" max="8958" width="6.08984375" style="267" customWidth="1"/>
    <col min="8959" max="8959" width="42.90625" style="267" customWidth="1"/>
    <col min="8960" max="8962" width="0" style="267" hidden="1" customWidth="1"/>
    <col min="8963" max="8963" width="14.36328125" style="267" customWidth="1"/>
    <col min="8964" max="8964" width="26.453125" style="267" customWidth="1"/>
    <col min="8965" max="8965" width="20.6328125" style="267" customWidth="1"/>
    <col min="8966" max="8966" width="22.54296875" style="267" customWidth="1"/>
    <col min="8967" max="8967" width="10.36328125" style="267" customWidth="1"/>
    <col min="8968" max="8969" width="18.6328125" style="267" customWidth="1"/>
    <col min="8970" max="9213" width="9.08984375" style="267"/>
    <col min="9214" max="9214" width="6.08984375" style="267" customWidth="1"/>
    <col min="9215" max="9215" width="42.90625" style="267" customWidth="1"/>
    <col min="9216" max="9218" width="0" style="267" hidden="1" customWidth="1"/>
    <col min="9219" max="9219" width="14.36328125" style="267" customWidth="1"/>
    <col min="9220" max="9220" width="26.453125" style="267" customWidth="1"/>
    <col min="9221" max="9221" width="20.6328125" style="267" customWidth="1"/>
    <col min="9222" max="9222" width="22.54296875" style="267" customWidth="1"/>
    <col min="9223" max="9223" width="10.36328125" style="267" customWidth="1"/>
    <col min="9224" max="9225" width="18.6328125" style="267" customWidth="1"/>
    <col min="9226" max="9469" width="9.08984375" style="267"/>
    <col min="9470" max="9470" width="6.08984375" style="267" customWidth="1"/>
    <col min="9471" max="9471" width="42.90625" style="267" customWidth="1"/>
    <col min="9472" max="9474" width="0" style="267" hidden="1" customWidth="1"/>
    <col min="9475" max="9475" width="14.36328125" style="267" customWidth="1"/>
    <col min="9476" max="9476" width="26.453125" style="267" customWidth="1"/>
    <col min="9477" max="9477" width="20.6328125" style="267" customWidth="1"/>
    <col min="9478" max="9478" width="22.54296875" style="267" customWidth="1"/>
    <col min="9479" max="9479" width="10.36328125" style="267" customWidth="1"/>
    <col min="9480" max="9481" width="18.6328125" style="267" customWidth="1"/>
    <col min="9482" max="9725" width="9.08984375" style="267"/>
    <col min="9726" max="9726" width="6.08984375" style="267" customWidth="1"/>
    <col min="9727" max="9727" width="42.90625" style="267" customWidth="1"/>
    <col min="9728" max="9730" width="0" style="267" hidden="1" customWidth="1"/>
    <col min="9731" max="9731" width="14.36328125" style="267" customWidth="1"/>
    <col min="9732" max="9732" width="26.453125" style="267" customWidth="1"/>
    <col min="9733" max="9733" width="20.6328125" style="267" customWidth="1"/>
    <col min="9734" max="9734" width="22.54296875" style="267" customWidth="1"/>
    <col min="9735" max="9735" width="10.36328125" style="267" customWidth="1"/>
    <col min="9736" max="9737" width="18.6328125" style="267" customWidth="1"/>
    <col min="9738" max="9981" width="9.08984375" style="267"/>
    <col min="9982" max="9982" width="6.08984375" style="267" customWidth="1"/>
    <col min="9983" max="9983" width="42.90625" style="267" customWidth="1"/>
    <col min="9984" max="9986" width="0" style="267" hidden="1" customWidth="1"/>
    <col min="9987" max="9987" width="14.36328125" style="267" customWidth="1"/>
    <col min="9988" max="9988" width="26.453125" style="267" customWidth="1"/>
    <col min="9989" max="9989" width="20.6328125" style="267" customWidth="1"/>
    <col min="9990" max="9990" width="22.54296875" style="267" customWidth="1"/>
    <col min="9991" max="9991" width="10.36328125" style="267" customWidth="1"/>
    <col min="9992" max="9993" width="18.6328125" style="267" customWidth="1"/>
    <col min="9994" max="10237" width="9.08984375" style="267"/>
    <col min="10238" max="10238" width="6.08984375" style="267" customWidth="1"/>
    <col min="10239" max="10239" width="42.90625" style="267" customWidth="1"/>
    <col min="10240" max="10242" width="0" style="267" hidden="1" customWidth="1"/>
    <col min="10243" max="10243" width="14.36328125" style="267" customWidth="1"/>
    <col min="10244" max="10244" width="26.453125" style="267" customWidth="1"/>
    <col min="10245" max="10245" width="20.6328125" style="267" customWidth="1"/>
    <col min="10246" max="10246" width="22.54296875" style="267" customWidth="1"/>
    <col min="10247" max="10247" width="10.36328125" style="267" customWidth="1"/>
    <col min="10248" max="10249" width="18.6328125" style="267" customWidth="1"/>
    <col min="10250" max="10493" width="9.08984375" style="267"/>
    <col min="10494" max="10494" width="6.08984375" style="267" customWidth="1"/>
    <col min="10495" max="10495" width="42.90625" style="267" customWidth="1"/>
    <col min="10496" max="10498" width="0" style="267" hidden="1" customWidth="1"/>
    <col min="10499" max="10499" width="14.36328125" style="267" customWidth="1"/>
    <col min="10500" max="10500" width="26.453125" style="267" customWidth="1"/>
    <col min="10501" max="10501" width="20.6328125" style="267" customWidth="1"/>
    <col min="10502" max="10502" width="22.54296875" style="267" customWidth="1"/>
    <col min="10503" max="10503" width="10.36328125" style="267" customWidth="1"/>
    <col min="10504" max="10505" width="18.6328125" style="267" customWidth="1"/>
    <col min="10506" max="10749" width="9.08984375" style="267"/>
    <col min="10750" max="10750" width="6.08984375" style="267" customWidth="1"/>
    <col min="10751" max="10751" width="42.90625" style="267" customWidth="1"/>
    <col min="10752" max="10754" width="0" style="267" hidden="1" customWidth="1"/>
    <col min="10755" max="10755" width="14.36328125" style="267" customWidth="1"/>
    <col min="10756" max="10756" width="26.453125" style="267" customWidth="1"/>
    <col min="10757" max="10757" width="20.6328125" style="267" customWidth="1"/>
    <col min="10758" max="10758" width="22.54296875" style="267" customWidth="1"/>
    <col min="10759" max="10759" width="10.36328125" style="267" customWidth="1"/>
    <col min="10760" max="10761" width="18.6328125" style="267" customWidth="1"/>
    <col min="10762" max="11005" width="9.08984375" style="267"/>
    <col min="11006" max="11006" width="6.08984375" style="267" customWidth="1"/>
    <col min="11007" max="11007" width="42.90625" style="267" customWidth="1"/>
    <col min="11008" max="11010" width="0" style="267" hidden="1" customWidth="1"/>
    <col min="11011" max="11011" width="14.36328125" style="267" customWidth="1"/>
    <col min="11012" max="11012" width="26.453125" style="267" customWidth="1"/>
    <col min="11013" max="11013" width="20.6328125" style="267" customWidth="1"/>
    <col min="11014" max="11014" width="22.54296875" style="267" customWidth="1"/>
    <col min="11015" max="11015" width="10.36328125" style="267" customWidth="1"/>
    <col min="11016" max="11017" width="18.6328125" style="267" customWidth="1"/>
    <col min="11018" max="11261" width="9.08984375" style="267"/>
    <col min="11262" max="11262" width="6.08984375" style="267" customWidth="1"/>
    <col min="11263" max="11263" width="42.90625" style="267" customWidth="1"/>
    <col min="11264" max="11266" width="0" style="267" hidden="1" customWidth="1"/>
    <col min="11267" max="11267" width="14.36328125" style="267" customWidth="1"/>
    <col min="11268" max="11268" width="26.453125" style="267" customWidth="1"/>
    <col min="11269" max="11269" width="20.6328125" style="267" customWidth="1"/>
    <col min="11270" max="11270" width="22.54296875" style="267" customWidth="1"/>
    <col min="11271" max="11271" width="10.36328125" style="267" customWidth="1"/>
    <col min="11272" max="11273" width="18.6328125" style="267" customWidth="1"/>
    <col min="11274" max="11517" width="9.08984375" style="267"/>
    <col min="11518" max="11518" width="6.08984375" style="267" customWidth="1"/>
    <col min="11519" max="11519" width="42.90625" style="267" customWidth="1"/>
    <col min="11520" max="11522" width="0" style="267" hidden="1" customWidth="1"/>
    <col min="11523" max="11523" width="14.36328125" style="267" customWidth="1"/>
    <col min="11524" max="11524" width="26.453125" style="267" customWidth="1"/>
    <col min="11525" max="11525" width="20.6328125" style="267" customWidth="1"/>
    <col min="11526" max="11526" width="22.54296875" style="267" customWidth="1"/>
    <col min="11527" max="11527" width="10.36328125" style="267" customWidth="1"/>
    <col min="11528" max="11529" width="18.6328125" style="267" customWidth="1"/>
    <col min="11530" max="11773" width="9.08984375" style="267"/>
    <col min="11774" max="11774" width="6.08984375" style="267" customWidth="1"/>
    <col min="11775" max="11775" width="42.90625" style="267" customWidth="1"/>
    <col min="11776" max="11778" width="0" style="267" hidden="1" customWidth="1"/>
    <col min="11779" max="11779" width="14.36328125" style="267" customWidth="1"/>
    <col min="11780" max="11780" width="26.453125" style="267" customWidth="1"/>
    <col min="11781" max="11781" width="20.6328125" style="267" customWidth="1"/>
    <col min="11782" max="11782" width="22.54296875" style="267" customWidth="1"/>
    <col min="11783" max="11783" width="10.36328125" style="267" customWidth="1"/>
    <col min="11784" max="11785" width="18.6328125" style="267" customWidth="1"/>
    <col min="11786" max="12029" width="9.08984375" style="267"/>
    <col min="12030" max="12030" width="6.08984375" style="267" customWidth="1"/>
    <col min="12031" max="12031" width="42.90625" style="267" customWidth="1"/>
    <col min="12032" max="12034" width="0" style="267" hidden="1" customWidth="1"/>
    <col min="12035" max="12035" width="14.36328125" style="267" customWidth="1"/>
    <col min="12036" max="12036" width="26.453125" style="267" customWidth="1"/>
    <col min="12037" max="12037" width="20.6328125" style="267" customWidth="1"/>
    <col min="12038" max="12038" width="22.54296875" style="267" customWidth="1"/>
    <col min="12039" max="12039" width="10.36328125" style="267" customWidth="1"/>
    <col min="12040" max="12041" width="18.6328125" style="267" customWidth="1"/>
    <col min="12042" max="12285" width="9.08984375" style="267"/>
    <col min="12286" max="12286" width="6.08984375" style="267" customWidth="1"/>
    <col min="12287" max="12287" width="42.90625" style="267" customWidth="1"/>
    <col min="12288" max="12290" width="0" style="267" hidden="1" customWidth="1"/>
    <col min="12291" max="12291" width="14.36328125" style="267" customWidth="1"/>
    <col min="12292" max="12292" width="26.453125" style="267" customWidth="1"/>
    <col min="12293" max="12293" width="20.6328125" style="267" customWidth="1"/>
    <col min="12294" max="12294" width="22.54296875" style="267" customWidth="1"/>
    <col min="12295" max="12295" width="10.36328125" style="267" customWidth="1"/>
    <col min="12296" max="12297" width="18.6328125" style="267" customWidth="1"/>
    <col min="12298" max="12541" width="9.08984375" style="267"/>
    <col min="12542" max="12542" width="6.08984375" style="267" customWidth="1"/>
    <col min="12543" max="12543" width="42.90625" style="267" customWidth="1"/>
    <col min="12544" max="12546" width="0" style="267" hidden="1" customWidth="1"/>
    <col min="12547" max="12547" width="14.36328125" style="267" customWidth="1"/>
    <col min="12548" max="12548" width="26.453125" style="267" customWidth="1"/>
    <col min="12549" max="12549" width="20.6328125" style="267" customWidth="1"/>
    <col min="12550" max="12550" width="22.54296875" style="267" customWidth="1"/>
    <col min="12551" max="12551" width="10.36328125" style="267" customWidth="1"/>
    <col min="12552" max="12553" width="18.6328125" style="267" customWidth="1"/>
    <col min="12554" max="12797" width="9.08984375" style="267"/>
    <col min="12798" max="12798" width="6.08984375" style="267" customWidth="1"/>
    <col min="12799" max="12799" width="42.90625" style="267" customWidth="1"/>
    <col min="12800" max="12802" width="0" style="267" hidden="1" customWidth="1"/>
    <col min="12803" max="12803" width="14.36328125" style="267" customWidth="1"/>
    <col min="12804" max="12804" width="26.453125" style="267" customWidth="1"/>
    <col min="12805" max="12805" width="20.6328125" style="267" customWidth="1"/>
    <col min="12806" max="12806" width="22.54296875" style="267" customWidth="1"/>
    <col min="12807" max="12807" width="10.36328125" style="267" customWidth="1"/>
    <col min="12808" max="12809" width="18.6328125" style="267" customWidth="1"/>
    <col min="12810" max="13053" width="9.08984375" style="267"/>
    <col min="13054" max="13054" width="6.08984375" style="267" customWidth="1"/>
    <col min="13055" max="13055" width="42.90625" style="267" customWidth="1"/>
    <col min="13056" max="13058" width="0" style="267" hidden="1" customWidth="1"/>
    <col min="13059" max="13059" width="14.36328125" style="267" customWidth="1"/>
    <col min="13060" max="13060" width="26.453125" style="267" customWidth="1"/>
    <col min="13061" max="13061" width="20.6328125" style="267" customWidth="1"/>
    <col min="13062" max="13062" width="22.54296875" style="267" customWidth="1"/>
    <col min="13063" max="13063" width="10.36328125" style="267" customWidth="1"/>
    <col min="13064" max="13065" width="18.6328125" style="267" customWidth="1"/>
    <col min="13066" max="13309" width="9.08984375" style="267"/>
    <col min="13310" max="13310" width="6.08984375" style="267" customWidth="1"/>
    <col min="13311" max="13311" width="42.90625" style="267" customWidth="1"/>
    <col min="13312" max="13314" width="0" style="267" hidden="1" customWidth="1"/>
    <col min="13315" max="13315" width="14.36328125" style="267" customWidth="1"/>
    <col min="13316" max="13316" width="26.453125" style="267" customWidth="1"/>
    <col min="13317" max="13317" width="20.6328125" style="267" customWidth="1"/>
    <col min="13318" max="13318" width="22.54296875" style="267" customWidth="1"/>
    <col min="13319" max="13319" width="10.36328125" style="267" customWidth="1"/>
    <col min="13320" max="13321" width="18.6328125" style="267" customWidth="1"/>
    <col min="13322" max="13565" width="9.08984375" style="267"/>
    <col min="13566" max="13566" width="6.08984375" style="267" customWidth="1"/>
    <col min="13567" max="13567" width="42.90625" style="267" customWidth="1"/>
    <col min="13568" max="13570" width="0" style="267" hidden="1" customWidth="1"/>
    <col min="13571" max="13571" width="14.36328125" style="267" customWidth="1"/>
    <col min="13572" max="13572" width="26.453125" style="267" customWidth="1"/>
    <col min="13573" max="13573" width="20.6328125" style="267" customWidth="1"/>
    <col min="13574" max="13574" width="22.54296875" style="267" customWidth="1"/>
    <col min="13575" max="13575" width="10.36328125" style="267" customWidth="1"/>
    <col min="13576" max="13577" width="18.6328125" style="267" customWidth="1"/>
    <col min="13578" max="13821" width="9.08984375" style="267"/>
    <col min="13822" max="13822" width="6.08984375" style="267" customWidth="1"/>
    <col min="13823" max="13823" width="42.90625" style="267" customWidth="1"/>
    <col min="13824" max="13826" width="0" style="267" hidden="1" customWidth="1"/>
    <col min="13827" max="13827" width="14.36328125" style="267" customWidth="1"/>
    <col min="13828" max="13828" width="26.453125" style="267" customWidth="1"/>
    <col min="13829" max="13829" width="20.6328125" style="267" customWidth="1"/>
    <col min="13830" max="13830" width="22.54296875" style="267" customWidth="1"/>
    <col min="13831" max="13831" width="10.36328125" style="267" customWidth="1"/>
    <col min="13832" max="13833" width="18.6328125" style="267" customWidth="1"/>
    <col min="13834" max="14077" width="9.08984375" style="267"/>
    <col min="14078" max="14078" width="6.08984375" style="267" customWidth="1"/>
    <col min="14079" max="14079" width="42.90625" style="267" customWidth="1"/>
    <col min="14080" max="14082" width="0" style="267" hidden="1" customWidth="1"/>
    <col min="14083" max="14083" width="14.36328125" style="267" customWidth="1"/>
    <col min="14084" max="14084" width="26.453125" style="267" customWidth="1"/>
    <col min="14085" max="14085" width="20.6328125" style="267" customWidth="1"/>
    <col min="14086" max="14086" width="22.54296875" style="267" customWidth="1"/>
    <col min="14087" max="14087" width="10.36328125" style="267" customWidth="1"/>
    <col min="14088" max="14089" width="18.6328125" style="267" customWidth="1"/>
    <col min="14090" max="14333" width="9.08984375" style="267"/>
    <col min="14334" max="14334" width="6.08984375" style="267" customWidth="1"/>
    <col min="14335" max="14335" width="42.90625" style="267" customWidth="1"/>
    <col min="14336" max="14338" width="0" style="267" hidden="1" customWidth="1"/>
    <col min="14339" max="14339" width="14.36328125" style="267" customWidth="1"/>
    <col min="14340" max="14340" width="26.453125" style="267" customWidth="1"/>
    <col min="14341" max="14341" width="20.6328125" style="267" customWidth="1"/>
    <col min="14342" max="14342" width="22.54296875" style="267" customWidth="1"/>
    <col min="14343" max="14343" width="10.36328125" style="267" customWidth="1"/>
    <col min="14344" max="14345" width="18.6328125" style="267" customWidth="1"/>
    <col min="14346" max="14589" width="9.08984375" style="267"/>
    <col min="14590" max="14590" width="6.08984375" style="267" customWidth="1"/>
    <col min="14591" max="14591" width="42.90625" style="267" customWidth="1"/>
    <col min="14592" max="14594" width="0" style="267" hidden="1" customWidth="1"/>
    <col min="14595" max="14595" width="14.36328125" style="267" customWidth="1"/>
    <col min="14596" max="14596" width="26.453125" style="267" customWidth="1"/>
    <col min="14597" max="14597" width="20.6328125" style="267" customWidth="1"/>
    <col min="14598" max="14598" width="22.54296875" style="267" customWidth="1"/>
    <col min="14599" max="14599" width="10.36328125" style="267" customWidth="1"/>
    <col min="14600" max="14601" width="18.6328125" style="267" customWidth="1"/>
    <col min="14602" max="14845" width="9.08984375" style="267"/>
    <col min="14846" max="14846" width="6.08984375" style="267" customWidth="1"/>
    <col min="14847" max="14847" width="42.90625" style="267" customWidth="1"/>
    <col min="14848" max="14850" width="0" style="267" hidden="1" customWidth="1"/>
    <col min="14851" max="14851" width="14.36328125" style="267" customWidth="1"/>
    <col min="14852" max="14852" width="26.453125" style="267" customWidth="1"/>
    <col min="14853" max="14853" width="20.6328125" style="267" customWidth="1"/>
    <col min="14854" max="14854" width="22.54296875" style="267" customWidth="1"/>
    <col min="14855" max="14855" width="10.36328125" style="267" customWidth="1"/>
    <col min="14856" max="14857" width="18.6328125" style="267" customWidth="1"/>
    <col min="14858" max="15101" width="9.08984375" style="267"/>
    <col min="15102" max="15102" width="6.08984375" style="267" customWidth="1"/>
    <col min="15103" max="15103" width="42.90625" style="267" customWidth="1"/>
    <col min="15104" max="15106" width="0" style="267" hidden="1" customWidth="1"/>
    <col min="15107" max="15107" width="14.36328125" style="267" customWidth="1"/>
    <col min="15108" max="15108" width="26.453125" style="267" customWidth="1"/>
    <col min="15109" max="15109" width="20.6328125" style="267" customWidth="1"/>
    <col min="15110" max="15110" width="22.54296875" style="267" customWidth="1"/>
    <col min="15111" max="15111" width="10.36328125" style="267" customWidth="1"/>
    <col min="15112" max="15113" width="18.6328125" style="267" customWidth="1"/>
    <col min="15114" max="15357" width="9.08984375" style="267"/>
    <col min="15358" max="15358" width="6.08984375" style="267" customWidth="1"/>
    <col min="15359" max="15359" width="42.90625" style="267" customWidth="1"/>
    <col min="15360" max="15362" width="0" style="267" hidden="1" customWidth="1"/>
    <col min="15363" max="15363" width="14.36328125" style="267" customWidth="1"/>
    <col min="15364" max="15364" width="26.453125" style="267" customWidth="1"/>
    <col min="15365" max="15365" width="20.6328125" style="267" customWidth="1"/>
    <col min="15366" max="15366" width="22.54296875" style="267" customWidth="1"/>
    <col min="15367" max="15367" width="10.36328125" style="267" customWidth="1"/>
    <col min="15368" max="15369" width="18.6328125" style="267" customWidth="1"/>
    <col min="15370" max="15613" width="9.08984375" style="267"/>
    <col min="15614" max="15614" width="6.08984375" style="267" customWidth="1"/>
    <col min="15615" max="15615" width="42.90625" style="267" customWidth="1"/>
    <col min="15616" max="15618" width="0" style="267" hidden="1" customWidth="1"/>
    <col min="15619" max="15619" width="14.36328125" style="267" customWidth="1"/>
    <col min="15620" max="15620" width="26.453125" style="267" customWidth="1"/>
    <col min="15621" max="15621" width="20.6328125" style="267" customWidth="1"/>
    <col min="15622" max="15622" width="22.54296875" style="267" customWidth="1"/>
    <col min="15623" max="15623" width="10.36328125" style="267" customWidth="1"/>
    <col min="15624" max="15625" width="18.6328125" style="267" customWidth="1"/>
    <col min="15626" max="15869" width="9.08984375" style="267"/>
    <col min="15870" max="15870" width="6.08984375" style="267" customWidth="1"/>
    <col min="15871" max="15871" width="42.90625" style="267" customWidth="1"/>
    <col min="15872" max="15874" width="0" style="267" hidden="1" customWidth="1"/>
    <col min="15875" max="15875" width="14.36328125" style="267" customWidth="1"/>
    <col min="15876" max="15876" width="26.453125" style="267" customWidth="1"/>
    <col min="15877" max="15877" width="20.6328125" style="267" customWidth="1"/>
    <col min="15878" max="15878" width="22.54296875" style="267" customWidth="1"/>
    <col min="15879" max="15879" width="10.36328125" style="267" customWidth="1"/>
    <col min="15880" max="15881" width="18.6328125" style="267" customWidth="1"/>
    <col min="15882" max="16125" width="9.08984375" style="267"/>
    <col min="16126" max="16126" width="6.08984375" style="267" customWidth="1"/>
    <col min="16127" max="16127" width="42.90625" style="267" customWidth="1"/>
    <col min="16128" max="16130" width="0" style="267" hidden="1" customWidth="1"/>
    <col min="16131" max="16131" width="14.36328125" style="267" customWidth="1"/>
    <col min="16132" max="16132" width="26.453125" style="267" customWidth="1"/>
    <col min="16133" max="16133" width="20.6328125" style="267" customWidth="1"/>
    <col min="16134" max="16134" width="22.54296875" style="267" customWidth="1"/>
    <col min="16135" max="16135" width="10.36328125" style="267" customWidth="1"/>
    <col min="16136" max="16137" width="18.6328125" style="267" customWidth="1"/>
    <col min="16138" max="16384" width="9.08984375" style="267"/>
  </cols>
  <sheetData>
    <row r="1" spans="1:6" ht="16.5" x14ac:dyDescent="0.35">
      <c r="A1" s="678" t="s">
        <v>69</v>
      </c>
      <c r="B1" s="678"/>
      <c r="C1" s="318"/>
    </row>
    <row r="2" spans="1:6" ht="16.5" x14ac:dyDescent="0.35">
      <c r="A2" s="684" t="s">
        <v>313</v>
      </c>
      <c r="B2" s="684"/>
      <c r="C2" s="319"/>
    </row>
    <row r="3" spans="1:6" ht="15" customHeight="1" x14ac:dyDescent="0.35">
      <c r="A3" s="268"/>
      <c r="B3" s="268"/>
      <c r="C3" s="268"/>
    </row>
    <row r="4" spans="1:6" ht="17.5" x14ac:dyDescent="0.35">
      <c r="A4" s="685" t="s">
        <v>452</v>
      </c>
      <c r="B4" s="685"/>
      <c r="C4" s="685"/>
      <c r="D4" s="685"/>
      <c r="E4" s="685"/>
      <c r="F4" s="328"/>
    </row>
    <row r="5" spans="1:6" x14ac:dyDescent="0.35">
      <c r="A5" s="329"/>
      <c r="B5" s="330"/>
      <c r="C5" s="330"/>
      <c r="D5" s="686" t="s">
        <v>475</v>
      </c>
      <c r="E5" s="686"/>
      <c r="F5" s="331"/>
    </row>
    <row r="6" spans="1:6" ht="24.75" customHeight="1" x14ac:dyDescent="0.35">
      <c r="A6" s="271" t="s">
        <v>16</v>
      </c>
      <c r="B6" s="271" t="s">
        <v>315</v>
      </c>
      <c r="C6" s="272" t="s">
        <v>541</v>
      </c>
      <c r="D6" s="272" t="s">
        <v>316</v>
      </c>
      <c r="E6" s="273" t="s">
        <v>22</v>
      </c>
      <c r="F6" s="328"/>
    </row>
    <row r="7" spans="1:6" ht="19.5" customHeight="1" x14ac:dyDescent="0.35">
      <c r="A7" s="326" t="s">
        <v>8</v>
      </c>
      <c r="B7" s="332" t="s">
        <v>317</v>
      </c>
      <c r="C7" s="325">
        <f>C8+C15+C20+C23+C30+C31+C32</f>
        <v>346142.4</v>
      </c>
      <c r="D7" s="325">
        <f>D8+D15+D20+D23+D30+D31+D32</f>
        <v>339898.74800000002</v>
      </c>
      <c r="E7" s="326"/>
      <c r="F7" s="328"/>
    </row>
    <row r="8" spans="1:6" ht="19.5" customHeight="1" x14ac:dyDescent="0.35">
      <c r="A8" s="297">
        <v>1</v>
      </c>
      <c r="B8" s="333" t="s">
        <v>318</v>
      </c>
      <c r="C8" s="296">
        <f>SUM(C9:C14)</f>
        <v>270607</v>
      </c>
      <c r="D8" s="296">
        <f>SUM(D9:D14)</f>
        <v>264112.24800000002</v>
      </c>
      <c r="E8" s="297"/>
      <c r="F8" s="328"/>
    </row>
    <row r="9" spans="1:6" ht="21.75" customHeight="1" x14ac:dyDescent="0.35">
      <c r="A9" s="301" t="s">
        <v>319</v>
      </c>
      <c r="B9" s="334" t="s">
        <v>320</v>
      </c>
      <c r="C9" s="335">
        <v>2900</v>
      </c>
      <c r="D9" s="298">
        <v>3066</v>
      </c>
      <c r="E9" s="297"/>
      <c r="F9" s="328"/>
    </row>
    <row r="10" spans="1:6" ht="18" customHeight="1" x14ac:dyDescent="0.35">
      <c r="A10" s="301" t="s">
        <v>321</v>
      </c>
      <c r="B10" s="334" t="s">
        <v>322</v>
      </c>
      <c r="C10" s="335">
        <v>256951</v>
      </c>
      <c r="D10" s="298">
        <v>256951</v>
      </c>
      <c r="E10" s="297"/>
      <c r="F10" s="328"/>
    </row>
    <row r="11" spans="1:6" ht="18.75" customHeight="1" x14ac:dyDescent="0.35">
      <c r="A11" s="301" t="s">
        <v>323</v>
      </c>
      <c r="B11" s="334" t="s">
        <v>324</v>
      </c>
      <c r="C11" s="335">
        <v>11805</v>
      </c>
      <c r="D11" s="298">
        <v>8577.06</v>
      </c>
      <c r="E11" s="297"/>
      <c r="F11" s="328"/>
    </row>
    <row r="12" spans="1:6" ht="18.75" customHeight="1" x14ac:dyDescent="0.35">
      <c r="A12" s="301" t="s">
        <v>325</v>
      </c>
      <c r="B12" s="334" t="s">
        <v>326</v>
      </c>
      <c r="C12" s="335"/>
      <c r="D12" s="298">
        <v>-13081.812</v>
      </c>
      <c r="E12" s="297"/>
      <c r="F12" s="328"/>
    </row>
    <row r="13" spans="1:6" ht="20.25" customHeight="1" x14ac:dyDescent="0.35">
      <c r="A13" s="301" t="s">
        <v>327</v>
      </c>
      <c r="B13" s="334" t="s">
        <v>328</v>
      </c>
      <c r="C13" s="336">
        <v>-1049</v>
      </c>
      <c r="D13" s="298">
        <v>-1400</v>
      </c>
      <c r="E13" s="297"/>
      <c r="F13" s="328"/>
    </row>
    <row r="14" spans="1:6" ht="18.75" customHeight="1" x14ac:dyDescent="0.35">
      <c r="A14" s="301" t="s">
        <v>329</v>
      </c>
      <c r="B14" s="299" t="s">
        <v>330</v>
      </c>
      <c r="C14" s="336"/>
      <c r="D14" s="298">
        <v>10000</v>
      </c>
      <c r="E14" s="297"/>
      <c r="F14" s="328"/>
    </row>
    <row r="15" spans="1:6" ht="24.75" customHeight="1" x14ac:dyDescent="0.35">
      <c r="A15" s="297">
        <v>2</v>
      </c>
      <c r="B15" s="333" t="s">
        <v>331</v>
      </c>
      <c r="C15" s="296">
        <f>SUM(C16:C19)</f>
        <v>3394</v>
      </c>
      <c r="D15" s="296">
        <f>SUM(D16:D19)</f>
        <v>3180</v>
      </c>
      <c r="E15" s="297"/>
      <c r="F15" s="328"/>
    </row>
    <row r="16" spans="1:6" ht="17.25" customHeight="1" x14ac:dyDescent="0.35">
      <c r="A16" s="301" t="s">
        <v>332</v>
      </c>
      <c r="B16" s="337" t="s">
        <v>333</v>
      </c>
      <c r="C16" s="338">
        <v>1064</v>
      </c>
      <c r="D16" s="298">
        <v>1000</v>
      </c>
      <c r="E16" s="297"/>
      <c r="F16" s="328"/>
    </row>
    <row r="17" spans="1:6" ht="18" customHeight="1" x14ac:dyDescent="0.35">
      <c r="A17" s="301" t="s">
        <v>334</v>
      </c>
      <c r="B17" s="337" t="s">
        <v>335</v>
      </c>
      <c r="C17" s="338">
        <v>1360</v>
      </c>
      <c r="D17" s="298">
        <v>1300</v>
      </c>
      <c r="E17" s="297"/>
      <c r="F17" s="328"/>
    </row>
    <row r="18" spans="1:6" ht="21" customHeight="1" x14ac:dyDescent="0.35">
      <c r="A18" s="301" t="s">
        <v>336</v>
      </c>
      <c r="B18" s="337" t="s">
        <v>337</v>
      </c>
      <c r="C18" s="338">
        <v>135</v>
      </c>
      <c r="D18" s="298">
        <v>80</v>
      </c>
      <c r="E18" s="297"/>
      <c r="F18" s="328"/>
    </row>
    <row r="19" spans="1:6" ht="19.5" customHeight="1" x14ac:dyDescent="0.35">
      <c r="A19" s="301" t="s">
        <v>338</v>
      </c>
      <c r="B19" s="337" t="s">
        <v>476</v>
      </c>
      <c r="C19" s="338">
        <v>835</v>
      </c>
      <c r="D19" s="298">
        <v>800</v>
      </c>
      <c r="E19" s="297"/>
      <c r="F19" s="328"/>
    </row>
    <row r="20" spans="1:6" ht="24.75" customHeight="1" x14ac:dyDescent="0.35">
      <c r="A20" s="297">
        <v>3</v>
      </c>
      <c r="B20" s="333" t="s">
        <v>339</v>
      </c>
      <c r="C20" s="296">
        <v>16886</v>
      </c>
      <c r="D20" s="296">
        <v>16886</v>
      </c>
      <c r="E20" s="297"/>
      <c r="F20" s="328"/>
    </row>
    <row r="21" spans="1:6" ht="19.5" customHeight="1" x14ac:dyDescent="0.35">
      <c r="A21" s="301" t="s">
        <v>340</v>
      </c>
      <c r="B21" s="334" t="s">
        <v>341</v>
      </c>
      <c r="C21" s="335"/>
      <c r="D21" s="298">
        <v>16786</v>
      </c>
      <c r="E21" s="297"/>
      <c r="F21" s="328"/>
    </row>
    <row r="22" spans="1:6" ht="20.25" customHeight="1" x14ac:dyDescent="0.35">
      <c r="A22" s="301" t="s">
        <v>380</v>
      </c>
      <c r="B22" s="334" t="s">
        <v>342</v>
      </c>
      <c r="C22" s="335">
        <v>110</v>
      </c>
      <c r="D22" s="298">
        <v>100</v>
      </c>
      <c r="E22" s="297"/>
      <c r="F22" s="328"/>
    </row>
    <row r="23" spans="1:6" ht="24.75" customHeight="1" x14ac:dyDescent="0.35">
      <c r="A23" s="297">
        <v>4</v>
      </c>
      <c r="B23" s="333" t="s">
        <v>343</v>
      </c>
      <c r="C23" s="296">
        <f>SUM(C24:C29)</f>
        <v>51748.4</v>
      </c>
      <c r="D23" s="296">
        <f>SUM(D24:D29)</f>
        <v>47700.5</v>
      </c>
      <c r="E23" s="297"/>
      <c r="F23" s="328"/>
    </row>
    <row r="24" spans="1:6" ht="18.75" customHeight="1" x14ac:dyDescent="0.35">
      <c r="A24" s="301" t="s">
        <v>344</v>
      </c>
      <c r="B24" s="299" t="s">
        <v>345</v>
      </c>
      <c r="C24" s="335">
        <v>4367</v>
      </c>
      <c r="D24" s="298">
        <v>4566</v>
      </c>
      <c r="E24" s="297"/>
      <c r="F24" s="328"/>
    </row>
    <row r="25" spans="1:6" ht="19.5" customHeight="1" x14ac:dyDescent="0.35">
      <c r="A25" s="301" t="s">
        <v>346</v>
      </c>
      <c r="B25" s="299" t="s">
        <v>347</v>
      </c>
      <c r="C25" s="335">
        <v>7428</v>
      </c>
      <c r="D25" s="298">
        <v>11034.5</v>
      </c>
      <c r="E25" s="297"/>
      <c r="F25" s="328"/>
    </row>
    <row r="26" spans="1:6" ht="20.25" customHeight="1" x14ac:dyDescent="0.35">
      <c r="A26" s="301" t="s">
        <v>348</v>
      </c>
      <c r="B26" s="302" t="s">
        <v>349</v>
      </c>
      <c r="C26" s="335">
        <v>3796</v>
      </c>
      <c r="D26" s="324">
        <v>3800</v>
      </c>
      <c r="E26" s="297"/>
      <c r="F26" s="328"/>
    </row>
    <row r="27" spans="1:6" ht="18" customHeight="1" x14ac:dyDescent="0.35">
      <c r="A27" s="301" t="s">
        <v>350</v>
      </c>
      <c r="B27" s="302" t="s">
        <v>351</v>
      </c>
      <c r="C27" s="335">
        <v>31447</v>
      </c>
      <c r="D27" s="324">
        <v>26000</v>
      </c>
      <c r="E27" s="297"/>
      <c r="F27" s="328"/>
    </row>
    <row r="28" spans="1:6" ht="18.75" customHeight="1" x14ac:dyDescent="0.35">
      <c r="A28" s="301" t="s">
        <v>352</v>
      </c>
      <c r="B28" s="302" t="s">
        <v>353</v>
      </c>
      <c r="C28" s="335">
        <v>2306.4</v>
      </c>
      <c r="D28" s="298">
        <v>2300</v>
      </c>
      <c r="E28" s="297"/>
      <c r="F28" s="328"/>
    </row>
    <row r="29" spans="1:6" ht="18.75" customHeight="1" x14ac:dyDescent="0.35">
      <c r="A29" s="301" t="s">
        <v>385</v>
      </c>
      <c r="B29" s="302" t="s">
        <v>542</v>
      </c>
      <c r="C29" s="335">
        <v>2404</v>
      </c>
      <c r="D29" s="298"/>
      <c r="E29" s="297"/>
      <c r="F29" s="328"/>
    </row>
    <row r="30" spans="1:6" ht="33.75" customHeight="1" x14ac:dyDescent="0.35">
      <c r="A30" s="297">
        <v>5</v>
      </c>
      <c r="B30" s="333" t="s">
        <v>354</v>
      </c>
      <c r="C30" s="339">
        <v>3333</v>
      </c>
      <c r="D30" s="296">
        <v>3520</v>
      </c>
      <c r="E30" s="297"/>
      <c r="F30" s="328"/>
    </row>
    <row r="31" spans="1:6" ht="49.5" customHeight="1" x14ac:dyDescent="0.35">
      <c r="A31" s="297">
        <v>6</v>
      </c>
      <c r="B31" s="333" t="s">
        <v>477</v>
      </c>
      <c r="C31" s="339">
        <v>0</v>
      </c>
      <c r="D31" s="296">
        <v>1000</v>
      </c>
      <c r="E31" s="297"/>
      <c r="F31" s="328"/>
    </row>
    <row r="32" spans="1:6" ht="33.75" customHeight="1" x14ac:dyDescent="0.35">
      <c r="A32" s="297">
        <v>7</v>
      </c>
      <c r="B32" s="333" t="s">
        <v>478</v>
      </c>
      <c r="C32" s="340">
        <v>174</v>
      </c>
      <c r="D32" s="296">
        <v>3500</v>
      </c>
      <c r="E32" s="297"/>
      <c r="F32" s="328"/>
    </row>
    <row r="33" spans="1:8" s="275" customFormat="1" x14ac:dyDescent="0.3">
      <c r="A33" s="341" t="s">
        <v>81</v>
      </c>
      <c r="B33" s="342" t="s">
        <v>479</v>
      </c>
      <c r="C33" s="343">
        <f>C34+C38</f>
        <v>66715</v>
      </c>
      <c r="D33" s="343">
        <f>D34+D38</f>
        <v>222700.94673200001</v>
      </c>
      <c r="E33" s="343"/>
      <c r="F33" s="344"/>
      <c r="G33" s="274"/>
      <c r="H33" s="300"/>
    </row>
    <row r="34" spans="1:8" s="275" customFormat="1" x14ac:dyDescent="0.3">
      <c r="A34" s="297">
        <v>1</v>
      </c>
      <c r="B34" s="333" t="s">
        <v>356</v>
      </c>
      <c r="C34" s="345">
        <f>C35+C36+C37</f>
        <v>3507</v>
      </c>
      <c r="D34" s="345">
        <f>D35+D36+D37</f>
        <v>8020</v>
      </c>
      <c r="E34" s="345"/>
      <c r="F34" s="344"/>
      <c r="G34" s="274"/>
      <c r="H34" s="300"/>
    </row>
    <row r="35" spans="1:8" s="275" customFormat="1" ht="31" x14ac:dyDescent="0.3">
      <c r="A35" s="301" t="s">
        <v>319</v>
      </c>
      <c r="B35" s="334" t="s">
        <v>354</v>
      </c>
      <c r="C35" s="334">
        <v>3333</v>
      </c>
      <c r="D35" s="346">
        <v>3520</v>
      </c>
      <c r="E35" s="345"/>
      <c r="F35" s="344"/>
      <c r="G35" s="274"/>
      <c r="H35" s="300"/>
    </row>
    <row r="36" spans="1:8" s="275" customFormat="1" ht="46.5" x14ac:dyDescent="0.3">
      <c r="A36" s="301" t="s">
        <v>321</v>
      </c>
      <c r="B36" s="334" t="s">
        <v>357</v>
      </c>
      <c r="C36" s="334"/>
      <c r="D36" s="346">
        <v>1000</v>
      </c>
      <c r="E36" s="345"/>
      <c r="F36" s="344"/>
      <c r="G36" s="274"/>
      <c r="H36" s="300"/>
    </row>
    <row r="37" spans="1:8" s="275" customFormat="1" ht="31" x14ac:dyDescent="0.3">
      <c r="A37" s="301" t="s">
        <v>323</v>
      </c>
      <c r="B37" s="334" t="s">
        <v>358</v>
      </c>
      <c r="C37" s="334">
        <v>174</v>
      </c>
      <c r="D37" s="346">
        <v>3500</v>
      </c>
      <c r="E37" s="345"/>
      <c r="F37" s="344"/>
      <c r="G37" s="274"/>
      <c r="H37" s="300"/>
    </row>
    <row r="38" spans="1:8" s="275" customFormat="1" ht="30" x14ac:dyDescent="0.3">
      <c r="A38" s="297">
        <v>2</v>
      </c>
      <c r="B38" s="333" t="s">
        <v>480</v>
      </c>
      <c r="C38" s="345">
        <f>C39+C48+C61+C65+C87+C88+C89+C90+C91+C92+C93+C94+C95+C96+C97+C98-1</f>
        <v>63208</v>
      </c>
      <c r="D38" s="345">
        <f>D39+D48+D61+D65+D87+D88+D89+D90+D91+D92+D93+D94+D95+D96+D97+D98-1</f>
        <v>214680.94673200001</v>
      </c>
      <c r="E38" s="345"/>
      <c r="F38" s="344"/>
      <c r="G38" s="274"/>
      <c r="H38" s="300"/>
    </row>
    <row r="39" spans="1:8" x14ac:dyDescent="0.35">
      <c r="A39" s="341" t="s">
        <v>332</v>
      </c>
      <c r="B39" s="342" t="s">
        <v>481</v>
      </c>
      <c r="C39" s="347">
        <f>C40+C46</f>
        <v>0</v>
      </c>
      <c r="D39" s="348">
        <f>D40+D46</f>
        <v>70415.537519999998</v>
      </c>
      <c r="E39" s="349"/>
      <c r="F39" s="350"/>
      <c r="G39" s="276"/>
      <c r="H39" s="276"/>
    </row>
    <row r="40" spans="1:8" hidden="1" x14ac:dyDescent="0.35">
      <c r="A40" s="341" t="s">
        <v>482</v>
      </c>
      <c r="B40" s="342" t="s">
        <v>359</v>
      </c>
      <c r="C40" s="351"/>
      <c r="D40" s="348">
        <f>SUM(D41:D45)</f>
        <v>70415.537519999998</v>
      </c>
      <c r="E40" s="349"/>
      <c r="F40" s="350"/>
      <c r="G40" s="276"/>
      <c r="H40" s="276"/>
    </row>
    <row r="41" spans="1:8" x14ac:dyDescent="0.35">
      <c r="A41" s="352"/>
      <c r="B41" s="353" t="s">
        <v>361</v>
      </c>
      <c r="C41" s="324">
        <v>46509</v>
      </c>
      <c r="D41" s="327">
        <f>'[1]Tong KH 2024'!E39</f>
        <v>49903.392</v>
      </c>
      <c r="E41" s="354"/>
      <c r="F41" s="355"/>
      <c r="G41" s="276"/>
    </row>
    <row r="42" spans="1:8" x14ac:dyDescent="0.35">
      <c r="A42" s="352"/>
      <c r="B42" s="353" t="s">
        <v>362</v>
      </c>
      <c r="C42" s="324">
        <v>8305</v>
      </c>
      <c r="D42" s="327">
        <f>'[1]Tong KH 2024'!E40</f>
        <v>10756.14552</v>
      </c>
      <c r="E42" s="354"/>
      <c r="F42" s="350"/>
      <c r="H42" s="276"/>
    </row>
    <row r="43" spans="1:8" x14ac:dyDescent="0.35">
      <c r="A43" s="352"/>
      <c r="B43" s="353" t="s">
        <v>363</v>
      </c>
      <c r="C43" s="324">
        <v>3409</v>
      </c>
      <c r="D43" s="327">
        <f>'[1]Tong KH 2024'!E41</f>
        <v>5256</v>
      </c>
      <c r="E43" s="354"/>
      <c r="F43" s="350"/>
      <c r="H43" s="276"/>
    </row>
    <row r="44" spans="1:8" x14ac:dyDescent="0.35">
      <c r="A44" s="352"/>
      <c r="B44" s="353" t="s">
        <v>483</v>
      </c>
      <c r="C44" s="324">
        <v>2145</v>
      </c>
      <c r="D44" s="327">
        <f>'[1]Tong KH 2024'!E42</f>
        <v>3000</v>
      </c>
      <c r="E44" s="354"/>
      <c r="F44" s="328"/>
      <c r="H44" s="276"/>
    </row>
    <row r="45" spans="1:8" x14ac:dyDescent="0.35">
      <c r="A45" s="352"/>
      <c r="B45" s="302" t="s">
        <v>543</v>
      </c>
      <c r="C45" s="320">
        <v>343</v>
      </c>
      <c r="D45" s="356">
        <f>'[1]Tong KH 2024'!E46</f>
        <v>1500</v>
      </c>
      <c r="E45" s="354"/>
      <c r="F45" s="328"/>
      <c r="H45" s="276"/>
    </row>
    <row r="46" spans="1:8" s="275" customFormat="1" ht="15" hidden="1" x14ac:dyDescent="0.3">
      <c r="A46" s="341" t="s">
        <v>484</v>
      </c>
      <c r="B46" s="342" t="s">
        <v>485</v>
      </c>
      <c r="C46" s="351"/>
      <c r="D46" s="343">
        <f>D47</f>
        <v>0</v>
      </c>
      <c r="E46" s="349"/>
      <c r="F46" s="357"/>
    </row>
    <row r="47" spans="1:8" ht="46.5" hidden="1" x14ac:dyDescent="0.35">
      <c r="A47" s="352"/>
      <c r="B47" s="353" t="s">
        <v>396</v>
      </c>
      <c r="C47" s="324"/>
      <c r="D47" s="358"/>
      <c r="E47" s="354"/>
      <c r="F47" s="328"/>
    </row>
    <row r="48" spans="1:8" x14ac:dyDescent="0.35">
      <c r="A48" s="341" t="s">
        <v>334</v>
      </c>
      <c r="B48" s="359" t="s">
        <v>486</v>
      </c>
      <c r="C48" s="348">
        <v>10540</v>
      </c>
      <c r="D48" s="348">
        <f>'[1]Mau 3'!D41</f>
        <v>20000</v>
      </c>
      <c r="E48" s="349"/>
      <c r="F48" s="350"/>
    </row>
    <row r="49" spans="1:6" ht="31" x14ac:dyDescent="0.35">
      <c r="A49" s="341"/>
      <c r="B49" s="303" t="s">
        <v>487</v>
      </c>
      <c r="C49" s="321"/>
      <c r="D49" s="304">
        <v>3000</v>
      </c>
      <c r="E49" s="349"/>
      <c r="F49" s="350"/>
    </row>
    <row r="50" spans="1:6" ht="46.5" x14ac:dyDescent="0.35">
      <c r="A50" s="341"/>
      <c r="B50" s="303" t="s">
        <v>488</v>
      </c>
      <c r="C50" s="321"/>
      <c r="D50" s="304">
        <v>2000</v>
      </c>
      <c r="E50" s="349"/>
      <c r="F50" s="350"/>
    </row>
    <row r="51" spans="1:6" x14ac:dyDescent="0.35">
      <c r="A51" s="341"/>
      <c r="B51" s="303" t="s">
        <v>567</v>
      </c>
      <c r="C51" s="321"/>
      <c r="D51" s="304">
        <v>667</v>
      </c>
      <c r="E51" s="349"/>
      <c r="F51" s="350"/>
    </row>
    <row r="52" spans="1:6" ht="66" x14ac:dyDescent="0.35">
      <c r="A52" s="341"/>
      <c r="B52" s="305" t="s">
        <v>489</v>
      </c>
      <c r="C52" s="322"/>
      <c r="D52" s="306">
        <v>1500</v>
      </c>
      <c r="E52" s="349"/>
      <c r="F52" s="350"/>
    </row>
    <row r="53" spans="1:6" ht="49.5" x14ac:dyDescent="0.35">
      <c r="A53" s="341"/>
      <c r="B53" s="305" t="s">
        <v>490</v>
      </c>
      <c r="C53" s="305"/>
      <c r="D53" s="306">
        <v>2500</v>
      </c>
      <c r="E53" s="349"/>
      <c r="F53" s="350"/>
    </row>
    <row r="54" spans="1:6" ht="33" x14ac:dyDescent="0.35">
      <c r="A54" s="341"/>
      <c r="B54" s="305" t="s">
        <v>491</v>
      </c>
      <c r="C54" s="305"/>
      <c r="D54" s="307">
        <v>900</v>
      </c>
      <c r="E54" s="349"/>
      <c r="F54" s="350"/>
    </row>
    <row r="55" spans="1:6" ht="33" x14ac:dyDescent="0.35">
      <c r="A55" s="341"/>
      <c r="B55" s="305" t="s">
        <v>565</v>
      </c>
      <c r="C55" s="305"/>
      <c r="D55" s="307">
        <v>2000</v>
      </c>
      <c r="E55" s="349"/>
      <c r="F55" s="350"/>
    </row>
    <row r="56" spans="1:6" ht="33" x14ac:dyDescent="0.35">
      <c r="A56" s="341"/>
      <c r="B56" s="305" t="s">
        <v>492</v>
      </c>
      <c r="C56" s="305"/>
      <c r="D56" s="307">
        <v>2000</v>
      </c>
      <c r="E56" s="349"/>
      <c r="F56" s="350"/>
    </row>
    <row r="57" spans="1:6" ht="66" x14ac:dyDescent="0.35">
      <c r="A57" s="341"/>
      <c r="B57" s="305" t="s">
        <v>493</v>
      </c>
      <c r="C57" s="305"/>
      <c r="D57" s="307">
        <v>1500</v>
      </c>
      <c r="E57" s="349"/>
      <c r="F57" s="350"/>
    </row>
    <row r="58" spans="1:6" ht="33" x14ac:dyDescent="0.35">
      <c r="A58" s="341"/>
      <c r="B58" s="305" t="s">
        <v>494</v>
      </c>
      <c r="C58" s="305"/>
      <c r="D58" s="307">
        <v>500</v>
      </c>
      <c r="E58" s="349"/>
      <c r="F58" s="350"/>
    </row>
    <row r="59" spans="1:6" ht="16.5" x14ac:dyDescent="0.35">
      <c r="A59" s="341"/>
      <c r="B59" s="305" t="s">
        <v>495</v>
      </c>
      <c r="C59" s="305"/>
      <c r="D59" s="307">
        <v>2000</v>
      </c>
      <c r="E59" s="349"/>
      <c r="F59" s="350"/>
    </row>
    <row r="60" spans="1:6" ht="16.5" x14ac:dyDescent="0.35">
      <c r="A60" s="341"/>
      <c r="B60" s="305" t="s">
        <v>496</v>
      </c>
      <c r="C60" s="305"/>
      <c r="D60" s="307">
        <v>1433</v>
      </c>
      <c r="E60" s="349"/>
      <c r="F60" s="328"/>
    </row>
    <row r="61" spans="1:6" x14ac:dyDescent="0.35">
      <c r="A61" s="341" t="s">
        <v>365</v>
      </c>
      <c r="B61" s="359" t="s">
        <v>497</v>
      </c>
      <c r="C61" s="308">
        <f>SUM(C62:C63)+1</f>
        <v>8456</v>
      </c>
      <c r="D61" s="308">
        <f>SUM(D62:D63)+1+D64</f>
        <v>37084.44</v>
      </c>
      <c r="E61" s="349"/>
      <c r="F61" s="328"/>
    </row>
    <row r="62" spans="1:6" ht="31" x14ac:dyDescent="0.35">
      <c r="A62" s="352"/>
      <c r="B62" s="360" t="s">
        <v>498</v>
      </c>
      <c r="C62" s="320">
        <v>958</v>
      </c>
      <c r="D62" s="327">
        <f>'[1]OK - TX (M4)'!J133+78</f>
        <v>5876.94</v>
      </c>
      <c r="E62" s="354"/>
      <c r="F62" s="328"/>
    </row>
    <row r="63" spans="1:6" x14ac:dyDescent="0.35">
      <c r="A63" s="352"/>
      <c r="B63" s="360" t="s">
        <v>499</v>
      </c>
      <c r="C63" s="320">
        <v>7497</v>
      </c>
      <c r="D63" s="327">
        <f>'[1]OK - SC (M9)'!G74</f>
        <v>12918.5</v>
      </c>
      <c r="E63" s="354"/>
      <c r="F63" s="328"/>
    </row>
    <row r="64" spans="1:6" ht="46.5" x14ac:dyDescent="0.35">
      <c r="A64" s="352"/>
      <c r="B64" s="360" t="s">
        <v>566</v>
      </c>
      <c r="C64" s="320"/>
      <c r="D64" s="327">
        <f>425+5230+2633+10000</f>
        <v>18288</v>
      </c>
      <c r="E64" s="354"/>
      <c r="F64" s="328"/>
    </row>
    <row r="65" spans="1:11" x14ac:dyDescent="0.35">
      <c r="A65" s="341" t="s">
        <v>336</v>
      </c>
      <c r="B65" s="359" t="s">
        <v>500</v>
      </c>
      <c r="C65" s="348">
        <v>6798</v>
      </c>
      <c r="D65" s="348">
        <f>SUM(D66:D86)-D73-D75-D78</f>
        <v>25375</v>
      </c>
      <c r="E65" s="354"/>
      <c r="F65" s="328"/>
    </row>
    <row r="66" spans="1:11" x14ac:dyDescent="0.35">
      <c r="A66" s="352"/>
      <c r="B66" s="360" t="s">
        <v>501</v>
      </c>
      <c r="C66" s="320"/>
      <c r="D66" s="327">
        <f>'[1]OK - Dien nuoc (M7)'!E8</f>
        <v>4400</v>
      </c>
      <c r="E66" s="354"/>
      <c r="F66" s="328"/>
      <c r="H66" s="267" t="s">
        <v>405</v>
      </c>
    </row>
    <row r="67" spans="1:11" x14ac:dyDescent="0.35">
      <c r="A67" s="352"/>
      <c r="B67" s="360" t="s">
        <v>502</v>
      </c>
      <c r="C67" s="320"/>
      <c r="D67" s="327">
        <f>'[1]OK - Dien nuoc (M7)'!E43</f>
        <v>400</v>
      </c>
      <c r="E67" s="354"/>
      <c r="F67" s="328"/>
    </row>
    <row r="68" spans="1:11" x14ac:dyDescent="0.35">
      <c r="A68" s="352"/>
      <c r="B68" s="360" t="s">
        <v>503</v>
      </c>
      <c r="C68" s="320"/>
      <c r="D68" s="327">
        <f>'[1]OK - Dien nuoc (M7)'!E45+'[1]OK - Dien nuoc (M7)'!E46</f>
        <v>600</v>
      </c>
      <c r="E68" s="354"/>
      <c r="F68" s="328"/>
    </row>
    <row r="69" spans="1:11" x14ac:dyDescent="0.35">
      <c r="A69" s="352"/>
      <c r="B69" s="360" t="s">
        <v>504</v>
      </c>
      <c r="C69" s="320"/>
      <c r="D69" s="327">
        <f>'[1]OK - Dien nuoc (M7)'!E11</f>
        <v>5370</v>
      </c>
      <c r="E69" s="354"/>
      <c r="F69" s="328"/>
    </row>
    <row r="70" spans="1:11" x14ac:dyDescent="0.35">
      <c r="A70" s="352"/>
      <c r="B70" s="360" t="s">
        <v>505</v>
      </c>
      <c r="C70" s="320"/>
      <c r="D70" s="327">
        <f>'[1]OK - Dien nuoc (M7)'!E21</f>
        <v>1850</v>
      </c>
      <c r="E70" s="354"/>
      <c r="F70" s="328"/>
    </row>
    <row r="71" spans="1:11" ht="31" x14ac:dyDescent="0.35">
      <c r="A71" s="352"/>
      <c r="B71" s="309" t="s">
        <v>506</v>
      </c>
      <c r="C71" s="361"/>
      <c r="D71" s="327">
        <f>'[1]OK - Dien nuoc (M7)'!E26</f>
        <v>2500</v>
      </c>
      <c r="E71" s="354"/>
      <c r="F71" s="328"/>
    </row>
    <row r="72" spans="1:11" s="275" customFormat="1" ht="46.5" x14ac:dyDescent="0.35">
      <c r="A72" s="352"/>
      <c r="B72" s="310" t="s">
        <v>507</v>
      </c>
      <c r="C72" s="362"/>
      <c r="D72" s="327">
        <v>1940</v>
      </c>
      <c r="E72" s="363" t="s">
        <v>508</v>
      </c>
      <c r="F72" s="357"/>
      <c r="G72" s="267"/>
      <c r="K72" s="274"/>
    </row>
    <row r="73" spans="1:11" ht="31" x14ac:dyDescent="0.35">
      <c r="A73" s="352"/>
      <c r="B73" s="310" t="s">
        <v>509</v>
      </c>
      <c r="C73" s="362"/>
      <c r="D73" s="327">
        <v>1120</v>
      </c>
      <c r="E73" s="363" t="s">
        <v>510</v>
      </c>
      <c r="F73" s="331"/>
    </row>
    <row r="74" spans="1:11" ht="46.5" x14ac:dyDescent="0.35">
      <c r="A74" s="352"/>
      <c r="B74" s="310" t="s">
        <v>511</v>
      </c>
      <c r="C74" s="362"/>
      <c r="D74" s="327">
        <v>1600</v>
      </c>
      <c r="E74" s="363" t="s">
        <v>512</v>
      </c>
      <c r="F74" s="328"/>
    </row>
    <row r="75" spans="1:11" s="278" customFormat="1" ht="31" x14ac:dyDescent="0.3">
      <c r="A75" s="352"/>
      <c r="B75" s="310" t="s">
        <v>511</v>
      </c>
      <c r="C75" s="362"/>
      <c r="D75" s="327">
        <v>860</v>
      </c>
      <c r="E75" s="363" t="s">
        <v>513</v>
      </c>
      <c r="F75" s="364"/>
    </row>
    <row r="76" spans="1:11" x14ac:dyDescent="0.35">
      <c r="A76" s="352"/>
      <c r="B76" s="310" t="s">
        <v>514</v>
      </c>
      <c r="C76" s="362"/>
      <c r="D76" s="327">
        <v>550</v>
      </c>
      <c r="E76" s="354"/>
      <c r="F76" s="328"/>
    </row>
    <row r="77" spans="1:11" x14ac:dyDescent="0.35">
      <c r="A77" s="352"/>
      <c r="B77" s="310" t="s">
        <v>515</v>
      </c>
      <c r="C77" s="362"/>
      <c r="D77" s="327">
        <f>'[1]OK - Dien nuoc (M7)'!E29+'[1]OK - Dien nuoc (M7)'!E30</f>
        <v>1450</v>
      </c>
      <c r="E77" s="354"/>
      <c r="F77" s="328"/>
    </row>
    <row r="78" spans="1:11" ht="62" x14ac:dyDescent="0.35">
      <c r="A78" s="352"/>
      <c r="B78" s="310" t="s">
        <v>515</v>
      </c>
      <c r="C78" s="362"/>
      <c r="D78" s="327">
        <f>'[1]OK - Dien nuoc (M7)'!E28</f>
        <v>1300</v>
      </c>
      <c r="E78" s="363" t="s">
        <v>553</v>
      </c>
      <c r="F78" s="328"/>
    </row>
    <row r="79" spans="1:11" ht="122.25" customHeight="1" x14ac:dyDescent="0.35">
      <c r="A79" s="352"/>
      <c r="B79" s="310" t="s">
        <v>552</v>
      </c>
      <c r="C79" s="362"/>
      <c r="D79" s="327">
        <v>300</v>
      </c>
      <c r="E79" s="551" t="s">
        <v>564</v>
      </c>
      <c r="F79" s="328"/>
    </row>
    <row r="80" spans="1:11" ht="46.5" x14ac:dyDescent="0.35">
      <c r="A80" s="352"/>
      <c r="B80" s="310" t="s">
        <v>554</v>
      </c>
      <c r="C80" s="362"/>
      <c r="D80" s="327">
        <v>300</v>
      </c>
      <c r="E80" s="551" t="s">
        <v>555</v>
      </c>
      <c r="F80" s="328"/>
    </row>
    <row r="81" spans="1:8" x14ac:dyDescent="0.35">
      <c r="A81" s="352"/>
      <c r="B81" s="310" t="s">
        <v>516</v>
      </c>
      <c r="C81" s="362"/>
      <c r="D81" s="327">
        <f>'[1]OK - Dien nuoc (M7)'!E37</f>
        <v>100</v>
      </c>
      <c r="E81" s="354"/>
      <c r="F81" s="328"/>
    </row>
    <row r="82" spans="1:8" x14ac:dyDescent="0.35">
      <c r="A82" s="352"/>
      <c r="B82" s="311" t="s">
        <v>517</v>
      </c>
      <c r="C82" s="365"/>
      <c r="D82" s="327">
        <f>'[1]OK - Dien nuoc (M7)'!E31</f>
        <v>2000</v>
      </c>
      <c r="E82" s="354"/>
      <c r="F82" s="328"/>
    </row>
    <row r="83" spans="1:8" x14ac:dyDescent="0.35">
      <c r="A83" s="352"/>
      <c r="B83" s="311" t="s">
        <v>518</v>
      </c>
      <c r="C83" s="365"/>
      <c r="D83" s="327">
        <f>'[1]OK - Dien nuoc (M7)'!E32</f>
        <v>250</v>
      </c>
      <c r="E83" s="354"/>
      <c r="F83" s="328"/>
    </row>
    <row r="84" spans="1:8" ht="31" x14ac:dyDescent="0.35">
      <c r="A84" s="352"/>
      <c r="B84" s="311" t="s">
        <v>519</v>
      </c>
      <c r="C84" s="365"/>
      <c r="D84" s="327">
        <f>'[1]OK - Dien nuoc (M7)'!E44</f>
        <v>45</v>
      </c>
      <c r="E84" s="354"/>
      <c r="F84" s="328"/>
    </row>
    <row r="85" spans="1:8" x14ac:dyDescent="0.35">
      <c r="A85" s="352"/>
      <c r="B85" s="311" t="s">
        <v>520</v>
      </c>
      <c r="C85" s="365"/>
      <c r="D85" s="327">
        <f>'[1]OK - Dien nuoc (M7)'!E33+'[1]OK - Dien nuoc (M7)'!E34+'[1]OK - Dien nuoc (M7)'!E35</f>
        <v>920</v>
      </c>
      <c r="E85" s="354"/>
      <c r="F85" s="328"/>
    </row>
    <row r="86" spans="1:8" x14ac:dyDescent="0.35">
      <c r="A86" s="352"/>
      <c r="B86" s="312" t="s">
        <v>521</v>
      </c>
      <c r="C86" s="366"/>
      <c r="D86" s="327">
        <v>800</v>
      </c>
      <c r="E86" s="354"/>
      <c r="F86" s="350"/>
    </row>
    <row r="87" spans="1:8" ht="28.5" customHeight="1" x14ac:dyDescent="0.35">
      <c r="A87" s="341" t="s">
        <v>338</v>
      </c>
      <c r="B87" s="367" t="s">
        <v>524</v>
      </c>
      <c r="C87" s="368">
        <v>2793</v>
      </c>
      <c r="D87" s="348">
        <v>3196</v>
      </c>
      <c r="E87" s="341"/>
      <c r="F87" s="328"/>
      <c r="H87" s="276"/>
    </row>
    <row r="88" spans="1:8" ht="21" customHeight="1" x14ac:dyDescent="0.35">
      <c r="A88" s="341" t="s">
        <v>369</v>
      </c>
      <c r="B88" s="367" t="s">
        <v>525</v>
      </c>
      <c r="C88" s="368">
        <v>7605</v>
      </c>
      <c r="D88" s="348">
        <f>'[1]CS2 '!F14</f>
        <v>8347</v>
      </c>
      <c r="E88" s="341"/>
      <c r="F88" s="328"/>
    </row>
    <row r="89" spans="1:8" ht="19.5" customHeight="1" x14ac:dyDescent="0.35">
      <c r="A89" s="341" t="s">
        <v>371</v>
      </c>
      <c r="B89" s="369" t="s">
        <v>386</v>
      </c>
      <c r="C89" s="370">
        <v>195</v>
      </c>
      <c r="D89" s="348">
        <f>'[1]Tong KH 2024'!E61</f>
        <v>250</v>
      </c>
      <c r="E89" s="341"/>
      <c r="F89" s="328"/>
    </row>
    <row r="90" spans="1:8" ht="33.75" customHeight="1" x14ac:dyDescent="0.35">
      <c r="A90" s="341" t="s">
        <v>372</v>
      </c>
      <c r="B90" s="342" t="s">
        <v>526</v>
      </c>
      <c r="C90" s="351">
        <v>300</v>
      </c>
      <c r="D90" s="348">
        <v>450</v>
      </c>
      <c r="E90" s="313"/>
      <c r="F90" s="328"/>
    </row>
    <row r="91" spans="1:8" ht="37.5" customHeight="1" x14ac:dyDescent="0.35">
      <c r="A91" s="341" t="s">
        <v>374</v>
      </c>
      <c r="B91" s="342" t="s">
        <v>563</v>
      </c>
      <c r="C91" s="371"/>
      <c r="D91" s="348">
        <f>D41*0.6%+1+500</f>
        <v>800.42035199999998</v>
      </c>
      <c r="E91" s="314" t="s">
        <v>527</v>
      </c>
      <c r="F91" s="328"/>
    </row>
    <row r="92" spans="1:8" ht="28.5" customHeight="1" x14ac:dyDescent="0.35">
      <c r="A92" s="341" t="s">
        <v>376</v>
      </c>
      <c r="B92" s="342" t="s">
        <v>529</v>
      </c>
      <c r="C92" s="351">
        <v>469</v>
      </c>
      <c r="D92" s="348">
        <v>1300</v>
      </c>
      <c r="E92" s="313"/>
      <c r="F92" s="328"/>
    </row>
    <row r="93" spans="1:8" x14ac:dyDescent="0.35">
      <c r="A93" s="341" t="s">
        <v>528</v>
      </c>
      <c r="B93" s="367" t="s">
        <v>531</v>
      </c>
      <c r="C93" s="368">
        <v>1119</v>
      </c>
      <c r="D93" s="348">
        <v>3013</v>
      </c>
      <c r="E93" s="341"/>
      <c r="F93" s="328">
        <f>450+300</f>
        <v>750</v>
      </c>
    </row>
    <row r="94" spans="1:8" x14ac:dyDescent="0.35">
      <c r="A94" s="341" t="s">
        <v>530</v>
      </c>
      <c r="B94" s="367" t="s">
        <v>382</v>
      </c>
      <c r="C94" s="368">
        <v>7742</v>
      </c>
      <c r="D94" s="348">
        <v>7500</v>
      </c>
      <c r="E94" s="341"/>
      <c r="F94" s="328">
        <f>500-F93</f>
        <v>-250</v>
      </c>
    </row>
    <row r="95" spans="1:8" x14ac:dyDescent="0.35">
      <c r="A95" s="341" t="s">
        <v>532</v>
      </c>
      <c r="B95" s="367" t="s">
        <v>534</v>
      </c>
      <c r="C95" s="368">
        <v>17192</v>
      </c>
      <c r="D95" s="348">
        <f>'[1]Tong KH 2024 (2)'!E60</f>
        <v>18000</v>
      </c>
      <c r="E95" s="341"/>
      <c r="F95" s="328"/>
    </row>
    <row r="96" spans="1:8" ht="32.25" customHeight="1" x14ac:dyDescent="0.35">
      <c r="A96" s="341" t="s">
        <v>533</v>
      </c>
      <c r="B96" s="367" t="s">
        <v>536</v>
      </c>
      <c r="C96" s="368"/>
      <c r="D96" s="348">
        <f>1437+200</f>
        <v>1637</v>
      </c>
      <c r="E96" s="341"/>
      <c r="F96" s="328"/>
    </row>
    <row r="97" spans="1:6" x14ac:dyDescent="0.35">
      <c r="A97" s="341" t="s">
        <v>535</v>
      </c>
      <c r="B97" s="367" t="s">
        <v>538</v>
      </c>
      <c r="C97" s="368"/>
      <c r="D97" s="348">
        <v>640</v>
      </c>
      <c r="E97" s="341"/>
      <c r="F97" s="328"/>
    </row>
    <row r="98" spans="1:6" x14ac:dyDescent="0.35">
      <c r="A98" s="341" t="s">
        <v>537</v>
      </c>
      <c r="B98" s="367" t="s">
        <v>539</v>
      </c>
      <c r="C98" s="368"/>
      <c r="D98" s="348">
        <f>D99+D100</f>
        <v>16673.548859999999</v>
      </c>
      <c r="E98" s="341"/>
      <c r="F98" s="328"/>
    </row>
    <row r="99" spans="1:6" ht="18.75" customHeight="1" x14ac:dyDescent="0.35">
      <c r="A99" s="352"/>
      <c r="B99" s="363" t="s">
        <v>379</v>
      </c>
      <c r="C99" s="372"/>
      <c r="D99" s="327">
        <v>16587.548859999999</v>
      </c>
      <c r="E99" s="327"/>
      <c r="F99" s="328"/>
    </row>
    <row r="100" spans="1:6" s="275" customFormat="1" x14ac:dyDescent="0.3">
      <c r="A100" s="373"/>
      <c r="B100" s="374" t="s">
        <v>342</v>
      </c>
      <c r="C100" s="375"/>
      <c r="D100" s="376">
        <v>86</v>
      </c>
      <c r="E100" s="376"/>
      <c r="F100" s="377"/>
    </row>
    <row r="101" spans="1:6" ht="24" customHeight="1" x14ac:dyDescent="0.35">
      <c r="A101" s="378" t="s">
        <v>117</v>
      </c>
      <c r="B101" s="379" t="s">
        <v>540</v>
      </c>
      <c r="C101" s="380"/>
      <c r="D101" s="381">
        <f>D7-D33</f>
        <v>117197.80126800001</v>
      </c>
      <c r="E101" s="382"/>
      <c r="F101" s="315"/>
    </row>
    <row r="102" spans="1:6" ht="28" x14ac:dyDescent="0.35">
      <c r="A102" s="281" t="s">
        <v>391</v>
      </c>
      <c r="B102" s="282" t="s">
        <v>392</v>
      </c>
      <c r="C102" s="227">
        <f>SUM(C103:C107)</f>
        <v>899561</v>
      </c>
      <c r="D102" s="227">
        <f>SUM(D103:D107)</f>
        <v>984705</v>
      </c>
      <c r="E102" s="383" t="s">
        <v>393</v>
      </c>
      <c r="F102" s="328"/>
    </row>
    <row r="103" spans="1:6" x14ac:dyDescent="0.35">
      <c r="A103" s="279">
        <v>1</v>
      </c>
      <c r="B103" s="384" t="s">
        <v>394</v>
      </c>
      <c r="C103" s="385">
        <v>72069</v>
      </c>
      <c r="D103" s="386">
        <f>29202+45290</f>
        <v>74492</v>
      </c>
      <c r="E103" s="387"/>
      <c r="F103" s="328"/>
    </row>
    <row r="104" spans="1:6" ht="28" x14ac:dyDescent="0.35">
      <c r="A104" s="283">
        <v>2</v>
      </c>
      <c r="B104" s="284" t="s">
        <v>395</v>
      </c>
      <c r="C104" s="226">
        <v>629469</v>
      </c>
      <c r="D104" s="226">
        <f>678474</f>
        <v>678474</v>
      </c>
      <c r="E104" s="285" t="s">
        <v>465</v>
      </c>
      <c r="F104" s="328"/>
    </row>
    <row r="105" spans="1:6" ht="28" x14ac:dyDescent="0.35">
      <c r="A105" s="301">
        <v>3</v>
      </c>
      <c r="B105" s="388" t="s">
        <v>396</v>
      </c>
      <c r="C105" s="389">
        <v>107447</v>
      </c>
      <c r="D105" s="335">
        <v>126365</v>
      </c>
      <c r="E105" s="390"/>
      <c r="F105" s="328"/>
    </row>
    <row r="106" spans="1:6" x14ac:dyDescent="0.35">
      <c r="A106" s="391">
        <v>4</v>
      </c>
      <c r="B106" s="392" t="s">
        <v>397</v>
      </c>
      <c r="C106" s="393"/>
      <c r="D106" s="335">
        <v>3825</v>
      </c>
      <c r="E106" s="394"/>
      <c r="F106" s="328"/>
    </row>
    <row r="107" spans="1:6" x14ac:dyDescent="0.35">
      <c r="A107" s="391">
        <v>5</v>
      </c>
      <c r="B107" s="392" t="s">
        <v>398</v>
      </c>
      <c r="C107" s="393">
        <v>90576</v>
      </c>
      <c r="D107" s="336">
        <v>101549</v>
      </c>
      <c r="E107" s="395"/>
      <c r="F107" s="328"/>
    </row>
    <row r="108" spans="1:6" x14ac:dyDescent="0.35">
      <c r="A108" s="281" t="s">
        <v>399</v>
      </c>
      <c r="B108" s="282" t="s">
        <v>400</v>
      </c>
      <c r="C108" s="227">
        <f>SUM(C109:C113)</f>
        <v>190704</v>
      </c>
      <c r="D108" s="227">
        <f>SUM(D109:D113)</f>
        <v>117197.801268</v>
      </c>
      <c r="E108" s="396"/>
      <c r="F108" s="328"/>
    </row>
    <row r="109" spans="1:6" x14ac:dyDescent="0.35">
      <c r="A109" s="279">
        <v>1</v>
      </c>
      <c r="B109" s="384" t="s">
        <v>394</v>
      </c>
      <c r="C109" s="385">
        <v>18000</v>
      </c>
      <c r="D109" s="386">
        <v>18000</v>
      </c>
      <c r="E109" s="387"/>
      <c r="F109" s="328"/>
    </row>
    <row r="110" spans="1:6" x14ac:dyDescent="0.35">
      <c r="A110" s="283">
        <v>2</v>
      </c>
      <c r="B110" s="284" t="s">
        <v>395</v>
      </c>
      <c r="C110" s="397">
        <v>49000</v>
      </c>
      <c r="D110" s="226">
        <f>D101*25%</f>
        <v>29299.450317000003</v>
      </c>
      <c r="E110" s="286">
        <v>0.25</v>
      </c>
      <c r="F110" s="328"/>
    </row>
    <row r="111" spans="1:6" x14ac:dyDescent="0.35">
      <c r="A111" s="301">
        <v>3</v>
      </c>
      <c r="B111" s="388" t="s">
        <v>401</v>
      </c>
      <c r="C111" s="389">
        <v>88524</v>
      </c>
      <c r="D111" s="335">
        <f>D101-D109-D110-D112-D113</f>
        <v>28742.738551000002</v>
      </c>
      <c r="E111" s="390"/>
      <c r="F111" s="328"/>
    </row>
    <row r="112" spans="1:6" x14ac:dyDescent="0.35">
      <c r="A112" s="391">
        <v>4</v>
      </c>
      <c r="B112" s="392" t="s">
        <v>397</v>
      </c>
      <c r="C112" s="393">
        <v>5500</v>
      </c>
      <c r="D112" s="398">
        <f>D8*5%+3500</f>
        <v>16705.612400000002</v>
      </c>
      <c r="E112" s="399" t="s">
        <v>466</v>
      </c>
      <c r="F112" s="328"/>
    </row>
    <row r="113" spans="1:8" x14ac:dyDescent="0.35">
      <c r="A113" s="391">
        <v>5</v>
      </c>
      <c r="B113" s="392" t="s">
        <v>398</v>
      </c>
      <c r="C113" s="393">
        <v>29680</v>
      </c>
      <c r="D113" s="336">
        <f>D27-(D27*0.05)-D89</f>
        <v>24450</v>
      </c>
      <c r="E113" s="400" t="s">
        <v>402</v>
      </c>
      <c r="F113" s="328"/>
    </row>
    <row r="114" spans="1:8" x14ac:dyDescent="0.35">
      <c r="A114" s="271" t="s">
        <v>403</v>
      </c>
      <c r="B114" s="282" t="s">
        <v>404</v>
      </c>
      <c r="C114" s="225">
        <f>SUM(C115:C127)+C131</f>
        <v>110125</v>
      </c>
      <c r="D114" s="225">
        <f>D115+D120+D123+D127+D131</f>
        <v>234733.35408000002</v>
      </c>
      <c r="E114" s="287"/>
      <c r="F114" s="328"/>
      <c r="H114" s="276">
        <f>D114-253021</f>
        <v>-18287.645919999981</v>
      </c>
    </row>
    <row r="115" spans="1:8" x14ac:dyDescent="0.35">
      <c r="A115" s="401">
        <v>1</v>
      </c>
      <c r="B115" s="402" t="s">
        <v>394</v>
      </c>
      <c r="C115" s="403">
        <v>15578</v>
      </c>
      <c r="D115" s="404">
        <f>SUM(D116:D119)</f>
        <v>25150</v>
      </c>
      <c r="E115" s="405"/>
      <c r="F115" s="350">
        <f>D115+D120+D123+D127+D131</f>
        <v>234733.35408000002</v>
      </c>
    </row>
    <row r="116" spans="1:8" x14ac:dyDescent="0.35">
      <c r="A116" s="279"/>
      <c r="B116" s="384" t="s">
        <v>544</v>
      </c>
      <c r="C116" s="386"/>
      <c r="D116" s="386">
        <v>16500</v>
      </c>
      <c r="E116" s="406"/>
      <c r="F116" s="350">
        <f>253021-F115</f>
        <v>18287.645919999981</v>
      </c>
    </row>
    <row r="117" spans="1:8" x14ac:dyDescent="0.35">
      <c r="A117" s="279"/>
      <c r="B117" s="384" t="s">
        <v>545</v>
      </c>
      <c r="C117" s="386"/>
      <c r="D117" s="386">
        <v>100</v>
      </c>
      <c r="E117" s="406"/>
      <c r="F117" s="328"/>
    </row>
    <row r="118" spans="1:8" x14ac:dyDescent="0.35">
      <c r="A118" s="279"/>
      <c r="B118" s="384" t="s">
        <v>418</v>
      </c>
      <c r="C118" s="386"/>
      <c r="D118" s="386">
        <v>2750</v>
      </c>
      <c r="E118" s="406"/>
      <c r="F118" s="350">
        <f>SUM(D115:D123+D127+D131)</f>
        <v>65476</v>
      </c>
    </row>
    <row r="119" spans="1:8" x14ac:dyDescent="0.35">
      <c r="A119" s="279"/>
      <c r="B119" s="384" t="s">
        <v>546</v>
      </c>
      <c r="C119" s="386"/>
      <c r="D119" s="386">
        <v>5800</v>
      </c>
      <c r="E119" s="406"/>
      <c r="F119" s="328"/>
    </row>
    <row r="120" spans="1:8" ht="28" x14ac:dyDescent="0.35">
      <c r="A120" s="301">
        <v>2</v>
      </c>
      <c r="B120" s="388" t="s">
        <v>396</v>
      </c>
      <c r="C120" s="389">
        <v>69635</v>
      </c>
      <c r="D120" s="335">
        <f>D121+D122</f>
        <v>126670.35408</v>
      </c>
      <c r="E120" s="407"/>
      <c r="F120" s="328"/>
    </row>
    <row r="121" spans="1:8" ht="28" x14ac:dyDescent="0.35">
      <c r="A121" s="301"/>
      <c r="B121" s="388" t="s">
        <v>396</v>
      </c>
      <c r="C121" s="393"/>
      <c r="D121" s="335">
        <f>80285.35408</f>
        <v>80285.354080000005</v>
      </c>
      <c r="E121" s="407"/>
      <c r="F121" s="328"/>
    </row>
    <row r="122" spans="1:8" ht="51.75" customHeight="1" x14ac:dyDescent="0.35">
      <c r="A122" s="301"/>
      <c r="B122" s="392" t="s">
        <v>551</v>
      </c>
      <c r="C122" s="393"/>
      <c r="D122" s="335">
        <f>45337+1048</f>
        <v>46385</v>
      </c>
      <c r="E122" s="407"/>
      <c r="F122" s="328"/>
    </row>
    <row r="123" spans="1:8" ht="39" customHeight="1" x14ac:dyDescent="0.35">
      <c r="A123" s="301">
        <v>3</v>
      </c>
      <c r="B123" s="392" t="s">
        <v>397</v>
      </c>
      <c r="C123" s="393">
        <v>1675</v>
      </c>
      <c r="D123" s="398">
        <f>SUM(D124:D126)</f>
        <v>20187</v>
      </c>
      <c r="E123" s="280" t="s">
        <v>473</v>
      </c>
      <c r="F123" s="328"/>
    </row>
    <row r="124" spans="1:8" ht="46.5" x14ac:dyDescent="0.35">
      <c r="A124" s="341"/>
      <c r="B124" s="408" t="s">
        <v>522</v>
      </c>
      <c r="C124" s="324"/>
      <c r="D124" s="327">
        <v>9637</v>
      </c>
      <c r="E124" s="341"/>
      <c r="F124" s="328"/>
    </row>
    <row r="125" spans="1:8" x14ac:dyDescent="0.35">
      <c r="A125" s="341"/>
      <c r="B125" s="409" t="s">
        <v>523</v>
      </c>
      <c r="C125" s="366"/>
      <c r="D125" s="327">
        <v>300</v>
      </c>
      <c r="E125" s="341"/>
      <c r="F125" s="328" t="s">
        <v>550</v>
      </c>
    </row>
    <row r="126" spans="1:8" x14ac:dyDescent="0.35">
      <c r="A126" s="301"/>
      <c r="B126" s="392" t="s">
        <v>547</v>
      </c>
      <c r="C126" s="393"/>
      <c r="D126" s="398">
        <v>10250</v>
      </c>
      <c r="E126" s="280"/>
      <c r="F126" s="328"/>
    </row>
    <row r="127" spans="1:8" x14ac:dyDescent="0.35">
      <c r="A127" s="301">
        <v>4</v>
      </c>
      <c r="B127" s="284" t="s">
        <v>395</v>
      </c>
      <c r="C127" s="335">
        <v>4185</v>
      </c>
      <c r="D127" s="398">
        <f>SUM(D128:D130)</f>
        <v>32726</v>
      </c>
      <c r="E127" s="407"/>
      <c r="F127" s="328"/>
    </row>
    <row r="128" spans="1:8" x14ac:dyDescent="0.35">
      <c r="A128" s="301" t="s">
        <v>431</v>
      </c>
      <c r="B128" s="284" t="s">
        <v>456</v>
      </c>
      <c r="C128" s="397"/>
      <c r="D128" s="398">
        <v>26500</v>
      </c>
      <c r="E128" s="407"/>
      <c r="F128" s="328"/>
    </row>
    <row r="129" spans="1:6" x14ac:dyDescent="0.35">
      <c r="A129" s="301" t="s">
        <v>431</v>
      </c>
      <c r="B129" s="284" t="s">
        <v>458</v>
      </c>
      <c r="C129" s="397"/>
      <c r="D129" s="398">
        <v>5300</v>
      </c>
      <c r="E129" s="407"/>
      <c r="F129" s="328"/>
    </row>
    <row r="130" spans="1:6" ht="31" x14ac:dyDescent="0.35">
      <c r="A130" s="301" t="s">
        <v>431</v>
      </c>
      <c r="B130" s="284" t="s">
        <v>459</v>
      </c>
      <c r="C130" s="397"/>
      <c r="D130" s="398">
        <v>926</v>
      </c>
      <c r="E130" s="407"/>
      <c r="F130" s="328"/>
    </row>
    <row r="131" spans="1:6" x14ac:dyDescent="0.35">
      <c r="A131" s="301">
        <v>5</v>
      </c>
      <c r="B131" s="388" t="s">
        <v>409</v>
      </c>
      <c r="C131" s="389">
        <f>SUM(C132:C133)</f>
        <v>19052</v>
      </c>
      <c r="D131" s="410">
        <f>SUM(D132:D133)</f>
        <v>30000</v>
      </c>
      <c r="E131" s="407"/>
      <c r="F131" s="328"/>
    </row>
    <row r="132" spans="1:6" ht="42" x14ac:dyDescent="0.35">
      <c r="A132" s="301" t="s">
        <v>431</v>
      </c>
      <c r="B132" s="392" t="s">
        <v>549</v>
      </c>
      <c r="C132" s="393">
        <v>19052</v>
      </c>
      <c r="D132" s="411">
        <v>25000</v>
      </c>
      <c r="E132" s="412"/>
      <c r="F132" s="328"/>
    </row>
    <row r="133" spans="1:6" x14ac:dyDescent="0.35">
      <c r="A133" s="301" t="s">
        <v>431</v>
      </c>
      <c r="B133" s="413" t="s">
        <v>460</v>
      </c>
      <c r="C133" s="414"/>
      <c r="D133" s="415">
        <v>5000</v>
      </c>
      <c r="E133" s="416"/>
      <c r="F133" s="328"/>
    </row>
    <row r="134" spans="1:6" x14ac:dyDescent="0.35">
      <c r="A134" s="271" t="s">
        <v>406</v>
      </c>
      <c r="B134" s="282" t="s">
        <v>407</v>
      </c>
      <c r="C134" s="225">
        <f>SUM(C135:C139)</f>
        <v>980140</v>
      </c>
      <c r="D134" s="225">
        <f>SUM(D135:D139)</f>
        <v>867169.44718800008</v>
      </c>
      <c r="E134" s="552"/>
      <c r="F134" s="328"/>
    </row>
    <row r="135" spans="1:6" s="317" customFormat="1" ht="24" customHeight="1" x14ac:dyDescent="0.35">
      <c r="A135" s="401">
        <v>1</v>
      </c>
      <c r="B135" s="402" t="s">
        <v>394</v>
      </c>
      <c r="C135" s="404">
        <f>C103+C109-C115</f>
        <v>74491</v>
      </c>
      <c r="D135" s="404">
        <f>D103+D109-D115</f>
        <v>67342</v>
      </c>
      <c r="E135" s="290"/>
      <c r="F135" s="316"/>
    </row>
    <row r="136" spans="1:6" s="317" customFormat="1" x14ac:dyDescent="0.35">
      <c r="A136" s="301">
        <v>2</v>
      </c>
      <c r="B136" s="388" t="s">
        <v>408</v>
      </c>
      <c r="C136" s="335">
        <f>C104+C110-C127</f>
        <v>674284</v>
      </c>
      <c r="D136" s="335">
        <f>D104+D110-D127</f>
        <v>675047.45031700004</v>
      </c>
      <c r="E136" s="285"/>
      <c r="F136" s="316"/>
    </row>
    <row r="137" spans="1:6" ht="31.5" customHeight="1" x14ac:dyDescent="0.35">
      <c r="A137" s="301">
        <v>3</v>
      </c>
      <c r="B137" s="388" t="s">
        <v>401</v>
      </c>
      <c r="C137" s="335">
        <f>C105+C111-C120</f>
        <v>126336</v>
      </c>
      <c r="D137" s="335">
        <f>D105+D111-D120</f>
        <v>28437.384471000012</v>
      </c>
      <c r="E137" s="407"/>
      <c r="F137" s="328"/>
    </row>
    <row r="138" spans="1:6" ht="15.65" customHeight="1" x14ac:dyDescent="0.35">
      <c r="A138" s="301">
        <v>4</v>
      </c>
      <c r="B138" s="392" t="s">
        <v>397</v>
      </c>
      <c r="C138" s="335">
        <f>C112+C106-C123</f>
        <v>3825</v>
      </c>
      <c r="D138" s="335">
        <f>D112+D106-D123</f>
        <v>343.6124000000018</v>
      </c>
      <c r="E138" s="407"/>
      <c r="F138" s="328"/>
    </row>
    <row r="139" spans="1:6" x14ac:dyDescent="0.35">
      <c r="A139" s="301">
        <v>5</v>
      </c>
      <c r="B139" s="388" t="s">
        <v>409</v>
      </c>
      <c r="C139" s="335">
        <f>C107+C113-C131</f>
        <v>101204</v>
      </c>
      <c r="D139" s="335">
        <f>D107+D113-D131</f>
        <v>95999</v>
      </c>
      <c r="E139" s="407"/>
      <c r="F139" s="328"/>
    </row>
    <row r="140" spans="1:6" x14ac:dyDescent="0.35">
      <c r="A140" s="291"/>
      <c r="B140" s="288"/>
      <c r="C140" s="323"/>
      <c r="D140" s="228"/>
      <c r="E140" s="289"/>
    </row>
    <row r="141" spans="1:6" ht="36.75" hidden="1" customHeight="1" x14ac:dyDescent="0.35">
      <c r="A141" s="681" t="s">
        <v>470</v>
      </c>
      <c r="B141" s="681"/>
      <c r="C141" s="681"/>
      <c r="D141" s="681"/>
      <c r="E141" s="681"/>
    </row>
    <row r="142" spans="1:6" ht="16.5" x14ac:dyDescent="0.35">
      <c r="A142" s="292"/>
      <c r="C142" s="682" t="s">
        <v>467</v>
      </c>
      <c r="D142" s="682"/>
      <c r="E142" s="682"/>
    </row>
    <row r="143" spans="1:6" ht="16.5" x14ac:dyDescent="0.35">
      <c r="A143" s="683"/>
      <c r="B143" s="683"/>
      <c r="C143" s="293"/>
      <c r="D143" s="676" t="s">
        <v>468</v>
      </c>
      <c r="E143" s="676"/>
    </row>
    <row r="144" spans="1:6" ht="15.65" customHeight="1" x14ac:dyDescent="0.35">
      <c r="A144" s="292"/>
      <c r="B144" s="294"/>
      <c r="C144" s="294"/>
      <c r="D144" s="295"/>
      <c r="E144" s="295"/>
    </row>
    <row r="145" spans="1:5" ht="16.5" x14ac:dyDescent="0.35">
      <c r="A145" s="292"/>
      <c r="B145" s="294"/>
      <c r="C145" s="294"/>
      <c r="D145" s="295"/>
      <c r="E145" s="295"/>
    </row>
    <row r="146" spans="1:5" ht="16.5" x14ac:dyDescent="0.35">
      <c r="A146" s="292"/>
      <c r="B146" s="294"/>
      <c r="C146" s="294"/>
      <c r="D146" s="295"/>
      <c r="E146" s="295"/>
    </row>
    <row r="147" spans="1:5" ht="16.5" x14ac:dyDescent="0.35">
      <c r="A147" s="292"/>
      <c r="B147" s="294"/>
      <c r="C147" s="294"/>
      <c r="D147" s="295"/>
      <c r="E147" s="295"/>
    </row>
    <row r="148" spans="1:5" ht="16.5" x14ac:dyDescent="0.35">
      <c r="A148" s="292"/>
      <c r="B148" s="294"/>
      <c r="C148" s="294"/>
      <c r="D148" s="295"/>
      <c r="E148" s="295"/>
    </row>
    <row r="149" spans="1:5" ht="16.5" x14ac:dyDescent="0.35">
      <c r="A149" s="675"/>
      <c r="B149" s="675"/>
      <c r="C149" s="294"/>
      <c r="D149" s="676" t="s">
        <v>410</v>
      </c>
      <c r="E149" s="676"/>
    </row>
    <row r="152" spans="1:5" x14ac:dyDescent="0.35">
      <c r="B152" s="270" t="s">
        <v>405</v>
      </c>
    </row>
  </sheetData>
  <mergeCells count="10">
    <mergeCell ref="A1:B1"/>
    <mergeCell ref="A2:B2"/>
    <mergeCell ref="A4:E4"/>
    <mergeCell ref="D5:E5"/>
    <mergeCell ref="A149:B149"/>
    <mergeCell ref="D149:E149"/>
    <mergeCell ref="C142:E142"/>
    <mergeCell ref="A141:E141"/>
    <mergeCell ref="A143:B143"/>
    <mergeCell ref="D143:E143"/>
  </mergeCells>
  <pageMargins left="1.02" right="0.23622047244094491" top="0.7" bottom="0.62992125984251968" header="0.31496062992125984" footer="0.31496062992125984"/>
  <pageSetup paperSize="9" fitToWidth="0" orientation="portrait" r:id="rId1"/>
  <headerFoot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K154"/>
  <sheetViews>
    <sheetView topLeftCell="A76" zoomScale="115" zoomScaleNormal="115" workbookViewId="0">
      <selection activeCell="H150" sqref="H150"/>
    </sheetView>
  </sheetViews>
  <sheetFormatPr defaultRowHeight="15.5" x14ac:dyDescent="0.35"/>
  <cols>
    <col min="1" max="1" width="6.08984375" style="269" customWidth="1"/>
    <col min="2" max="2" width="32.453125" style="270" customWidth="1"/>
    <col min="3" max="3" width="14.453125" style="270" hidden="1" customWidth="1"/>
    <col min="4" max="4" width="2.453125" style="267" hidden="1" customWidth="1"/>
    <col min="5" max="7" width="1.6328125" style="267" hidden="1" customWidth="1"/>
    <col min="8" max="8" width="11.6328125" style="267" customWidth="1"/>
    <col min="9" max="9" width="21.81640625" style="267" customWidth="1"/>
    <col min="10" max="10" width="11.36328125" style="267" customWidth="1"/>
    <col min="11" max="11" width="11.08984375" style="267" customWidth="1"/>
    <col min="12" max="250" width="9.08984375" style="267"/>
    <col min="251" max="251" width="6.08984375" style="267" customWidth="1"/>
    <col min="252" max="252" width="42.90625" style="267" customWidth="1"/>
    <col min="253" max="255" width="0" style="267" hidden="1" customWidth="1"/>
    <col min="256" max="256" width="14.36328125" style="267" customWidth="1"/>
    <col min="257" max="257" width="26.453125" style="267" customWidth="1"/>
    <col min="258" max="258" width="20.6328125" style="267" customWidth="1"/>
    <col min="259" max="259" width="22.54296875" style="267" customWidth="1"/>
    <col min="260" max="260" width="10.36328125" style="267" customWidth="1"/>
    <col min="261" max="262" width="18.6328125" style="267" customWidth="1"/>
    <col min="263" max="506" width="9.08984375" style="267"/>
    <col min="507" max="507" width="6.08984375" style="267" customWidth="1"/>
    <col min="508" max="508" width="42.90625" style="267" customWidth="1"/>
    <col min="509" max="511" width="0" style="267" hidden="1" customWidth="1"/>
    <col min="512" max="512" width="14.36328125" style="267" customWidth="1"/>
    <col min="513" max="513" width="26.453125" style="267" customWidth="1"/>
    <col min="514" max="514" width="20.6328125" style="267" customWidth="1"/>
    <col min="515" max="515" width="22.54296875" style="267" customWidth="1"/>
    <col min="516" max="516" width="10.36328125" style="267" customWidth="1"/>
    <col min="517" max="518" width="18.6328125" style="267" customWidth="1"/>
    <col min="519" max="762" width="9.08984375" style="267"/>
    <col min="763" max="763" width="6.08984375" style="267" customWidth="1"/>
    <col min="764" max="764" width="42.90625" style="267" customWidth="1"/>
    <col min="765" max="767" width="0" style="267" hidden="1" customWidth="1"/>
    <col min="768" max="768" width="14.36328125" style="267" customWidth="1"/>
    <col min="769" max="769" width="26.453125" style="267" customWidth="1"/>
    <col min="770" max="770" width="20.6328125" style="267" customWidth="1"/>
    <col min="771" max="771" width="22.54296875" style="267" customWidth="1"/>
    <col min="772" max="772" width="10.36328125" style="267" customWidth="1"/>
    <col min="773" max="774" width="18.6328125" style="267" customWidth="1"/>
    <col min="775" max="1018" width="9.08984375" style="267"/>
    <col min="1019" max="1019" width="6.08984375" style="267" customWidth="1"/>
    <col min="1020" max="1020" width="42.90625" style="267" customWidth="1"/>
    <col min="1021" max="1023" width="0" style="267" hidden="1" customWidth="1"/>
    <col min="1024" max="1024" width="14.36328125" style="267" customWidth="1"/>
    <col min="1025" max="1025" width="26.453125" style="267" customWidth="1"/>
    <col min="1026" max="1026" width="20.6328125" style="267" customWidth="1"/>
    <col min="1027" max="1027" width="22.54296875" style="267" customWidth="1"/>
    <col min="1028" max="1028" width="10.36328125" style="267" customWidth="1"/>
    <col min="1029" max="1030" width="18.6328125" style="267" customWidth="1"/>
    <col min="1031" max="1274" width="9.08984375" style="267"/>
    <col min="1275" max="1275" width="6.08984375" style="267" customWidth="1"/>
    <col min="1276" max="1276" width="42.90625" style="267" customWidth="1"/>
    <col min="1277" max="1279" width="0" style="267" hidden="1" customWidth="1"/>
    <col min="1280" max="1280" width="14.36328125" style="267" customWidth="1"/>
    <col min="1281" max="1281" width="26.453125" style="267" customWidth="1"/>
    <col min="1282" max="1282" width="20.6328125" style="267" customWidth="1"/>
    <col min="1283" max="1283" width="22.54296875" style="267" customWidth="1"/>
    <col min="1284" max="1284" width="10.36328125" style="267" customWidth="1"/>
    <col min="1285" max="1286" width="18.6328125" style="267" customWidth="1"/>
    <col min="1287" max="1530" width="9.08984375" style="267"/>
    <col min="1531" max="1531" width="6.08984375" style="267" customWidth="1"/>
    <col min="1532" max="1532" width="42.90625" style="267" customWidth="1"/>
    <col min="1533" max="1535" width="0" style="267" hidden="1" customWidth="1"/>
    <col min="1536" max="1536" width="14.36328125" style="267" customWidth="1"/>
    <col min="1537" max="1537" width="26.453125" style="267" customWidth="1"/>
    <col min="1538" max="1538" width="20.6328125" style="267" customWidth="1"/>
    <col min="1539" max="1539" width="22.54296875" style="267" customWidth="1"/>
    <col min="1540" max="1540" width="10.36328125" style="267" customWidth="1"/>
    <col min="1541" max="1542" width="18.6328125" style="267" customWidth="1"/>
    <col min="1543" max="1786" width="9.08984375" style="267"/>
    <col min="1787" max="1787" width="6.08984375" style="267" customWidth="1"/>
    <col min="1788" max="1788" width="42.90625" style="267" customWidth="1"/>
    <col min="1789" max="1791" width="0" style="267" hidden="1" customWidth="1"/>
    <col min="1792" max="1792" width="14.36328125" style="267" customWidth="1"/>
    <col min="1793" max="1793" width="26.453125" style="267" customWidth="1"/>
    <col min="1794" max="1794" width="20.6328125" style="267" customWidth="1"/>
    <col min="1795" max="1795" width="22.54296875" style="267" customWidth="1"/>
    <col min="1796" max="1796" width="10.36328125" style="267" customWidth="1"/>
    <col min="1797" max="1798" width="18.6328125" style="267" customWidth="1"/>
    <col min="1799" max="2042" width="9.08984375" style="267"/>
    <col min="2043" max="2043" width="6.08984375" style="267" customWidth="1"/>
    <col min="2044" max="2044" width="42.90625" style="267" customWidth="1"/>
    <col min="2045" max="2047" width="0" style="267" hidden="1" customWidth="1"/>
    <col min="2048" max="2048" width="14.36328125" style="267" customWidth="1"/>
    <col min="2049" max="2049" width="26.453125" style="267" customWidth="1"/>
    <col min="2050" max="2050" width="20.6328125" style="267" customWidth="1"/>
    <col min="2051" max="2051" width="22.54296875" style="267" customWidth="1"/>
    <col min="2052" max="2052" width="10.36328125" style="267" customWidth="1"/>
    <col min="2053" max="2054" width="18.6328125" style="267" customWidth="1"/>
    <col min="2055" max="2298" width="9.08984375" style="267"/>
    <col min="2299" max="2299" width="6.08984375" style="267" customWidth="1"/>
    <col min="2300" max="2300" width="42.90625" style="267" customWidth="1"/>
    <col min="2301" max="2303" width="0" style="267" hidden="1" customWidth="1"/>
    <col min="2304" max="2304" width="14.36328125" style="267" customWidth="1"/>
    <col min="2305" max="2305" width="26.453125" style="267" customWidth="1"/>
    <col min="2306" max="2306" width="20.6328125" style="267" customWidth="1"/>
    <col min="2307" max="2307" width="22.54296875" style="267" customWidth="1"/>
    <col min="2308" max="2308" width="10.36328125" style="267" customWidth="1"/>
    <col min="2309" max="2310" width="18.6328125" style="267" customWidth="1"/>
    <col min="2311" max="2554" width="9.08984375" style="267"/>
    <col min="2555" max="2555" width="6.08984375" style="267" customWidth="1"/>
    <col min="2556" max="2556" width="42.90625" style="267" customWidth="1"/>
    <col min="2557" max="2559" width="0" style="267" hidden="1" customWidth="1"/>
    <col min="2560" max="2560" width="14.36328125" style="267" customWidth="1"/>
    <col min="2561" max="2561" width="26.453125" style="267" customWidth="1"/>
    <col min="2562" max="2562" width="20.6328125" style="267" customWidth="1"/>
    <col min="2563" max="2563" width="22.54296875" style="267" customWidth="1"/>
    <col min="2564" max="2564" width="10.36328125" style="267" customWidth="1"/>
    <col min="2565" max="2566" width="18.6328125" style="267" customWidth="1"/>
    <col min="2567" max="2810" width="9.08984375" style="267"/>
    <col min="2811" max="2811" width="6.08984375" style="267" customWidth="1"/>
    <col min="2812" max="2812" width="42.90625" style="267" customWidth="1"/>
    <col min="2813" max="2815" width="0" style="267" hidden="1" customWidth="1"/>
    <col min="2816" max="2816" width="14.36328125" style="267" customWidth="1"/>
    <col min="2817" max="2817" width="26.453125" style="267" customWidth="1"/>
    <col min="2818" max="2818" width="20.6328125" style="267" customWidth="1"/>
    <col min="2819" max="2819" width="22.54296875" style="267" customWidth="1"/>
    <col min="2820" max="2820" width="10.36328125" style="267" customWidth="1"/>
    <col min="2821" max="2822" width="18.6328125" style="267" customWidth="1"/>
    <col min="2823" max="3066" width="9.08984375" style="267"/>
    <col min="3067" max="3067" width="6.08984375" style="267" customWidth="1"/>
    <col min="3068" max="3068" width="42.90625" style="267" customWidth="1"/>
    <col min="3069" max="3071" width="0" style="267" hidden="1" customWidth="1"/>
    <col min="3072" max="3072" width="14.36328125" style="267" customWidth="1"/>
    <col min="3073" max="3073" width="26.453125" style="267" customWidth="1"/>
    <col min="3074" max="3074" width="20.6328125" style="267" customWidth="1"/>
    <col min="3075" max="3075" width="22.54296875" style="267" customWidth="1"/>
    <col min="3076" max="3076" width="10.36328125" style="267" customWidth="1"/>
    <col min="3077" max="3078" width="18.6328125" style="267" customWidth="1"/>
    <col min="3079" max="3322" width="9.08984375" style="267"/>
    <col min="3323" max="3323" width="6.08984375" style="267" customWidth="1"/>
    <col min="3324" max="3324" width="42.90625" style="267" customWidth="1"/>
    <col min="3325" max="3327" width="0" style="267" hidden="1" customWidth="1"/>
    <col min="3328" max="3328" width="14.36328125" style="267" customWidth="1"/>
    <col min="3329" max="3329" width="26.453125" style="267" customWidth="1"/>
    <col min="3330" max="3330" width="20.6328125" style="267" customWidth="1"/>
    <col min="3331" max="3331" width="22.54296875" style="267" customWidth="1"/>
    <col min="3332" max="3332" width="10.36328125" style="267" customWidth="1"/>
    <col min="3333" max="3334" width="18.6328125" style="267" customWidth="1"/>
    <col min="3335" max="3578" width="9.08984375" style="267"/>
    <col min="3579" max="3579" width="6.08984375" style="267" customWidth="1"/>
    <col min="3580" max="3580" width="42.90625" style="267" customWidth="1"/>
    <col min="3581" max="3583" width="0" style="267" hidden="1" customWidth="1"/>
    <col min="3584" max="3584" width="14.36328125" style="267" customWidth="1"/>
    <col min="3585" max="3585" width="26.453125" style="267" customWidth="1"/>
    <col min="3586" max="3586" width="20.6328125" style="267" customWidth="1"/>
    <col min="3587" max="3587" width="22.54296875" style="267" customWidth="1"/>
    <col min="3588" max="3588" width="10.36328125" style="267" customWidth="1"/>
    <col min="3589" max="3590" width="18.6328125" style="267" customWidth="1"/>
    <col min="3591" max="3834" width="9.08984375" style="267"/>
    <col min="3835" max="3835" width="6.08984375" style="267" customWidth="1"/>
    <col min="3836" max="3836" width="42.90625" style="267" customWidth="1"/>
    <col min="3837" max="3839" width="0" style="267" hidden="1" customWidth="1"/>
    <col min="3840" max="3840" width="14.36328125" style="267" customWidth="1"/>
    <col min="3841" max="3841" width="26.453125" style="267" customWidth="1"/>
    <col min="3842" max="3842" width="20.6328125" style="267" customWidth="1"/>
    <col min="3843" max="3843" width="22.54296875" style="267" customWidth="1"/>
    <col min="3844" max="3844" width="10.36328125" style="267" customWidth="1"/>
    <col min="3845" max="3846" width="18.6328125" style="267" customWidth="1"/>
    <col min="3847" max="4090" width="9.08984375" style="267"/>
    <col min="4091" max="4091" width="6.08984375" style="267" customWidth="1"/>
    <col min="4092" max="4092" width="42.90625" style="267" customWidth="1"/>
    <col min="4093" max="4095" width="0" style="267" hidden="1" customWidth="1"/>
    <col min="4096" max="4096" width="14.36328125" style="267" customWidth="1"/>
    <col min="4097" max="4097" width="26.453125" style="267" customWidth="1"/>
    <col min="4098" max="4098" width="20.6328125" style="267" customWidth="1"/>
    <col min="4099" max="4099" width="22.54296875" style="267" customWidth="1"/>
    <col min="4100" max="4100" width="10.36328125" style="267" customWidth="1"/>
    <col min="4101" max="4102" width="18.6328125" style="267" customWidth="1"/>
    <col min="4103" max="4346" width="9.08984375" style="267"/>
    <col min="4347" max="4347" width="6.08984375" style="267" customWidth="1"/>
    <col min="4348" max="4348" width="42.90625" style="267" customWidth="1"/>
    <col min="4349" max="4351" width="0" style="267" hidden="1" customWidth="1"/>
    <col min="4352" max="4352" width="14.36328125" style="267" customWidth="1"/>
    <col min="4353" max="4353" width="26.453125" style="267" customWidth="1"/>
    <col min="4354" max="4354" width="20.6328125" style="267" customWidth="1"/>
    <col min="4355" max="4355" width="22.54296875" style="267" customWidth="1"/>
    <col min="4356" max="4356" width="10.36328125" style="267" customWidth="1"/>
    <col min="4357" max="4358" width="18.6328125" style="267" customWidth="1"/>
    <col min="4359" max="4602" width="9.08984375" style="267"/>
    <col min="4603" max="4603" width="6.08984375" style="267" customWidth="1"/>
    <col min="4604" max="4604" width="42.90625" style="267" customWidth="1"/>
    <col min="4605" max="4607" width="0" style="267" hidden="1" customWidth="1"/>
    <col min="4608" max="4608" width="14.36328125" style="267" customWidth="1"/>
    <col min="4609" max="4609" width="26.453125" style="267" customWidth="1"/>
    <col min="4610" max="4610" width="20.6328125" style="267" customWidth="1"/>
    <col min="4611" max="4611" width="22.54296875" style="267" customWidth="1"/>
    <col min="4612" max="4612" width="10.36328125" style="267" customWidth="1"/>
    <col min="4613" max="4614" width="18.6328125" style="267" customWidth="1"/>
    <col min="4615" max="4858" width="9.08984375" style="267"/>
    <col min="4859" max="4859" width="6.08984375" style="267" customWidth="1"/>
    <col min="4860" max="4860" width="42.90625" style="267" customWidth="1"/>
    <col min="4861" max="4863" width="0" style="267" hidden="1" customWidth="1"/>
    <col min="4864" max="4864" width="14.36328125" style="267" customWidth="1"/>
    <col min="4865" max="4865" width="26.453125" style="267" customWidth="1"/>
    <col min="4866" max="4866" width="20.6328125" style="267" customWidth="1"/>
    <col min="4867" max="4867" width="22.54296875" style="267" customWidth="1"/>
    <col min="4868" max="4868" width="10.36328125" style="267" customWidth="1"/>
    <col min="4869" max="4870" width="18.6328125" style="267" customWidth="1"/>
    <col min="4871" max="5114" width="9.08984375" style="267"/>
    <col min="5115" max="5115" width="6.08984375" style="267" customWidth="1"/>
    <col min="5116" max="5116" width="42.90625" style="267" customWidth="1"/>
    <col min="5117" max="5119" width="0" style="267" hidden="1" customWidth="1"/>
    <col min="5120" max="5120" width="14.36328125" style="267" customWidth="1"/>
    <col min="5121" max="5121" width="26.453125" style="267" customWidth="1"/>
    <col min="5122" max="5122" width="20.6328125" style="267" customWidth="1"/>
    <col min="5123" max="5123" width="22.54296875" style="267" customWidth="1"/>
    <col min="5124" max="5124" width="10.36328125" style="267" customWidth="1"/>
    <col min="5125" max="5126" width="18.6328125" style="267" customWidth="1"/>
    <col min="5127" max="5370" width="9.08984375" style="267"/>
    <col min="5371" max="5371" width="6.08984375" style="267" customWidth="1"/>
    <col min="5372" max="5372" width="42.90625" style="267" customWidth="1"/>
    <col min="5373" max="5375" width="0" style="267" hidden="1" customWidth="1"/>
    <col min="5376" max="5376" width="14.36328125" style="267" customWidth="1"/>
    <col min="5377" max="5377" width="26.453125" style="267" customWidth="1"/>
    <col min="5378" max="5378" width="20.6328125" style="267" customWidth="1"/>
    <col min="5379" max="5379" width="22.54296875" style="267" customWidth="1"/>
    <col min="5380" max="5380" width="10.36328125" style="267" customWidth="1"/>
    <col min="5381" max="5382" width="18.6328125" style="267" customWidth="1"/>
    <col min="5383" max="5626" width="9.08984375" style="267"/>
    <col min="5627" max="5627" width="6.08984375" style="267" customWidth="1"/>
    <col min="5628" max="5628" width="42.90625" style="267" customWidth="1"/>
    <col min="5629" max="5631" width="0" style="267" hidden="1" customWidth="1"/>
    <col min="5632" max="5632" width="14.36328125" style="267" customWidth="1"/>
    <col min="5633" max="5633" width="26.453125" style="267" customWidth="1"/>
    <col min="5634" max="5634" width="20.6328125" style="267" customWidth="1"/>
    <col min="5635" max="5635" width="22.54296875" style="267" customWidth="1"/>
    <col min="5636" max="5636" width="10.36328125" style="267" customWidth="1"/>
    <col min="5637" max="5638" width="18.6328125" style="267" customWidth="1"/>
    <col min="5639" max="5882" width="9.08984375" style="267"/>
    <col min="5883" max="5883" width="6.08984375" style="267" customWidth="1"/>
    <col min="5884" max="5884" width="42.90625" style="267" customWidth="1"/>
    <col min="5885" max="5887" width="0" style="267" hidden="1" customWidth="1"/>
    <col min="5888" max="5888" width="14.36328125" style="267" customWidth="1"/>
    <col min="5889" max="5889" width="26.453125" style="267" customWidth="1"/>
    <col min="5890" max="5890" width="20.6328125" style="267" customWidth="1"/>
    <col min="5891" max="5891" width="22.54296875" style="267" customWidth="1"/>
    <col min="5892" max="5892" width="10.36328125" style="267" customWidth="1"/>
    <col min="5893" max="5894" width="18.6328125" style="267" customWidth="1"/>
    <col min="5895" max="6138" width="9.08984375" style="267"/>
    <col min="6139" max="6139" width="6.08984375" style="267" customWidth="1"/>
    <col min="6140" max="6140" width="42.90625" style="267" customWidth="1"/>
    <col min="6141" max="6143" width="0" style="267" hidden="1" customWidth="1"/>
    <col min="6144" max="6144" width="14.36328125" style="267" customWidth="1"/>
    <col min="6145" max="6145" width="26.453125" style="267" customWidth="1"/>
    <col min="6146" max="6146" width="20.6328125" style="267" customWidth="1"/>
    <col min="6147" max="6147" width="22.54296875" style="267" customWidth="1"/>
    <col min="6148" max="6148" width="10.36328125" style="267" customWidth="1"/>
    <col min="6149" max="6150" width="18.6328125" style="267" customWidth="1"/>
    <col min="6151" max="6394" width="9.08984375" style="267"/>
    <col min="6395" max="6395" width="6.08984375" style="267" customWidth="1"/>
    <col min="6396" max="6396" width="42.90625" style="267" customWidth="1"/>
    <col min="6397" max="6399" width="0" style="267" hidden="1" customWidth="1"/>
    <col min="6400" max="6400" width="14.36328125" style="267" customWidth="1"/>
    <col min="6401" max="6401" width="26.453125" style="267" customWidth="1"/>
    <col min="6402" max="6402" width="20.6328125" style="267" customWidth="1"/>
    <col min="6403" max="6403" width="22.54296875" style="267" customWidth="1"/>
    <col min="6404" max="6404" width="10.36328125" style="267" customWidth="1"/>
    <col min="6405" max="6406" width="18.6328125" style="267" customWidth="1"/>
    <col min="6407" max="6650" width="9.08984375" style="267"/>
    <col min="6651" max="6651" width="6.08984375" style="267" customWidth="1"/>
    <col min="6652" max="6652" width="42.90625" style="267" customWidth="1"/>
    <col min="6653" max="6655" width="0" style="267" hidden="1" customWidth="1"/>
    <col min="6656" max="6656" width="14.36328125" style="267" customWidth="1"/>
    <col min="6657" max="6657" width="26.453125" style="267" customWidth="1"/>
    <col min="6658" max="6658" width="20.6328125" style="267" customWidth="1"/>
    <col min="6659" max="6659" width="22.54296875" style="267" customWidth="1"/>
    <col min="6660" max="6660" width="10.36328125" style="267" customWidth="1"/>
    <col min="6661" max="6662" width="18.6328125" style="267" customWidth="1"/>
    <col min="6663" max="6906" width="9.08984375" style="267"/>
    <col min="6907" max="6907" width="6.08984375" style="267" customWidth="1"/>
    <col min="6908" max="6908" width="42.90625" style="267" customWidth="1"/>
    <col min="6909" max="6911" width="0" style="267" hidden="1" customWidth="1"/>
    <col min="6912" max="6912" width="14.36328125" style="267" customWidth="1"/>
    <col min="6913" max="6913" width="26.453125" style="267" customWidth="1"/>
    <col min="6914" max="6914" width="20.6328125" style="267" customWidth="1"/>
    <col min="6915" max="6915" width="22.54296875" style="267" customWidth="1"/>
    <col min="6916" max="6916" width="10.36328125" style="267" customWidth="1"/>
    <col min="6917" max="6918" width="18.6328125" style="267" customWidth="1"/>
    <col min="6919" max="7162" width="9.08984375" style="267"/>
    <col min="7163" max="7163" width="6.08984375" style="267" customWidth="1"/>
    <col min="7164" max="7164" width="42.90625" style="267" customWidth="1"/>
    <col min="7165" max="7167" width="0" style="267" hidden="1" customWidth="1"/>
    <col min="7168" max="7168" width="14.36328125" style="267" customWidth="1"/>
    <col min="7169" max="7169" width="26.453125" style="267" customWidth="1"/>
    <col min="7170" max="7170" width="20.6328125" style="267" customWidth="1"/>
    <col min="7171" max="7171" width="22.54296875" style="267" customWidth="1"/>
    <col min="7172" max="7172" width="10.36328125" style="267" customWidth="1"/>
    <col min="7173" max="7174" width="18.6328125" style="267" customWidth="1"/>
    <col min="7175" max="7418" width="9.08984375" style="267"/>
    <col min="7419" max="7419" width="6.08984375" style="267" customWidth="1"/>
    <col min="7420" max="7420" width="42.90625" style="267" customWidth="1"/>
    <col min="7421" max="7423" width="0" style="267" hidden="1" customWidth="1"/>
    <col min="7424" max="7424" width="14.36328125" style="267" customWidth="1"/>
    <col min="7425" max="7425" width="26.453125" style="267" customWidth="1"/>
    <col min="7426" max="7426" width="20.6328125" style="267" customWidth="1"/>
    <col min="7427" max="7427" width="22.54296875" style="267" customWidth="1"/>
    <col min="7428" max="7428" width="10.36328125" style="267" customWidth="1"/>
    <col min="7429" max="7430" width="18.6328125" style="267" customWidth="1"/>
    <col min="7431" max="7674" width="9.08984375" style="267"/>
    <col min="7675" max="7675" width="6.08984375" style="267" customWidth="1"/>
    <col min="7676" max="7676" width="42.90625" style="267" customWidth="1"/>
    <col min="7677" max="7679" width="0" style="267" hidden="1" customWidth="1"/>
    <col min="7680" max="7680" width="14.36328125" style="267" customWidth="1"/>
    <col min="7681" max="7681" width="26.453125" style="267" customWidth="1"/>
    <col min="7682" max="7682" width="20.6328125" style="267" customWidth="1"/>
    <col min="7683" max="7683" width="22.54296875" style="267" customWidth="1"/>
    <col min="7684" max="7684" width="10.36328125" style="267" customWidth="1"/>
    <col min="7685" max="7686" width="18.6328125" style="267" customWidth="1"/>
    <col min="7687" max="7930" width="9.08984375" style="267"/>
    <col min="7931" max="7931" width="6.08984375" style="267" customWidth="1"/>
    <col min="7932" max="7932" width="42.90625" style="267" customWidth="1"/>
    <col min="7933" max="7935" width="0" style="267" hidden="1" customWidth="1"/>
    <col min="7936" max="7936" width="14.36328125" style="267" customWidth="1"/>
    <col min="7937" max="7937" width="26.453125" style="267" customWidth="1"/>
    <col min="7938" max="7938" width="20.6328125" style="267" customWidth="1"/>
    <col min="7939" max="7939" width="22.54296875" style="267" customWidth="1"/>
    <col min="7940" max="7940" width="10.36328125" style="267" customWidth="1"/>
    <col min="7941" max="7942" width="18.6328125" style="267" customWidth="1"/>
    <col min="7943" max="8186" width="9.08984375" style="267"/>
    <col min="8187" max="8187" width="6.08984375" style="267" customWidth="1"/>
    <col min="8188" max="8188" width="42.90625" style="267" customWidth="1"/>
    <col min="8189" max="8191" width="0" style="267" hidden="1" customWidth="1"/>
    <col min="8192" max="8192" width="14.36328125" style="267" customWidth="1"/>
    <col min="8193" max="8193" width="26.453125" style="267" customWidth="1"/>
    <col min="8194" max="8194" width="20.6328125" style="267" customWidth="1"/>
    <col min="8195" max="8195" width="22.54296875" style="267" customWidth="1"/>
    <col min="8196" max="8196" width="10.36328125" style="267" customWidth="1"/>
    <col min="8197" max="8198" width="18.6328125" style="267" customWidth="1"/>
    <col min="8199" max="8442" width="9.08984375" style="267"/>
    <col min="8443" max="8443" width="6.08984375" style="267" customWidth="1"/>
    <col min="8444" max="8444" width="42.90625" style="267" customWidth="1"/>
    <col min="8445" max="8447" width="0" style="267" hidden="1" customWidth="1"/>
    <col min="8448" max="8448" width="14.36328125" style="267" customWidth="1"/>
    <col min="8449" max="8449" width="26.453125" style="267" customWidth="1"/>
    <col min="8450" max="8450" width="20.6328125" style="267" customWidth="1"/>
    <col min="8451" max="8451" width="22.54296875" style="267" customWidth="1"/>
    <col min="8452" max="8452" width="10.36328125" style="267" customWidth="1"/>
    <col min="8453" max="8454" width="18.6328125" style="267" customWidth="1"/>
    <col min="8455" max="8698" width="9.08984375" style="267"/>
    <col min="8699" max="8699" width="6.08984375" style="267" customWidth="1"/>
    <col min="8700" max="8700" width="42.90625" style="267" customWidth="1"/>
    <col min="8701" max="8703" width="0" style="267" hidden="1" customWidth="1"/>
    <col min="8704" max="8704" width="14.36328125" style="267" customWidth="1"/>
    <col min="8705" max="8705" width="26.453125" style="267" customWidth="1"/>
    <col min="8706" max="8706" width="20.6328125" style="267" customWidth="1"/>
    <col min="8707" max="8707" width="22.54296875" style="267" customWidth="1"/>
    <col min="8708" max="8708" width="10.36328125" style="267" customWidth="1"/>
    <col min="8709" max="8710" width="18.6328125" style="267" customWidth="1"/>
    <col min="8711" max="8954" width="9.08984375" style="267"/>
    <col min="8955" max="8955" width="6.08984375" style="267" customWidth="1"/>
    <col min="8956" max="8956" width="42.90625" style="267" customWidth="1"/>
    <col min="8957" max="8959" width="0" style="267" hidden="1" customWidth="1"/>
    <col min="8960" max="8960" width="14.36328125" style="267" customWidth="1"/>
    <col min="8961" max="8961" width="26.453125" style="267" customWidth="1"/>
    <col min="8962" max="8962" width="20.6328125" style="267" customWidth="1"/>
    <col min="8963" max="8963" width="22.54296875" style="267" customWidth="1"/>
    <col min="8964" max="8964" width="10.36328125" style="267" customWidth="1"/>
    <col min="8965" max="8966" width="18.6328125" style="267" customWidth="1"/>
    <col min="8967" max="9210" width="9.08984375" style="267"/>
    <col min="9211" max="9211" width="6.08984375" style="267" customWidth="1"/>
    <col min="9212" max="9212" width="42.90625" style="267" customWidth="1"/>
    <col min="9213" max="9215" width="0" style="267" hidden="1" customWidth="1"/>
    <col min="9216" max="9216" width="14.36328125" style="267" customWidth="1"/>
    <col min="9217" max="9217" width="26.453125" style="267" customWidth="1"/>
    <col min="9218" max="9218" width="20.6328125" style="267" customWidth="1"/>
    <col min="9219" max="9219" width="22.54296875" style="267" customWidth="1"/>
    <col min="9220" max="9220" width="10.36328125" style="267" customWidth="1"/>
    <col min="9221" max="9222" width="18.6328125" style="267" customWidth="1"/>
    <col min="9223" max="9466" width="9.08984375" style="267"/>
    <col min="9467" max="9467" width="6.08984375" style="267" customWidth="1"/>
    <col min="9468" max="9468" width="42.90625" style="267" customWidth="1"/>
    <col min="9469" max="9471" width="0" style="267" hidden="1" customWidth="1"/>
    <col min="9472" max="9472" width="14.36328125" style="267" customWidth="1"/>
    <col min="9473" max="9473" width="26.453125" style="267" customWidth="1"/>
    <col min="9474" max="9474" width="20.6328125" style="267" customWidth="1"/>
    <col min="9475" max="9475" width="22.54296875" style="267" customWidth="1"/>
    <col min="9476" max="9476" width="10.36328125" style="267" customWidth="1"/>
    <col min="9477" max="9478" width="18.6328125" style="267" customWidth="1"/>
    <col min="9479" max="9722" width="9.08984375" style="267"/>
    <col min="9723" max="9723" width="6.08984375" style="267" customWidth="1"/>
    <col min="9724" max="9724" width="42.90625" style="267" customWidth="1"/>
    <col min="9725" max="9727" width="0" style="267" hidden="1" customWidth="1"/>
    <col min="9728" max="9728" width="14.36328125" style="267" customWidth="1"/>
    <col min="9729" max="9729" width="26.453125" style="267" customWidth="1"/>
    <col min="9730" max="9730" width="20.6328125" style="267" customWidth="1"/>
    <col min="9731" max="9731" width="22.54296875" style="267" customWidth="1"/>
    <col min="9732" max="9732" width="10.36328125" style="267" customWidth="1"/>
    <col min="9733" max="9734" width="18.6328125" style="267" customWidth="1"/>
    <col min="9735" max="9978" width="9.08984375" style="267"/>
    <col min="9979" max="9979" width="6.08984375" style="267" customWidth="1"/>
    <col min="9980" max="9980" width="42.90625" style="267" customWidth="1"/>
    <col min="9981" max="9983" width="0" style="267" hidden="1" customWidth="1"/>
    <col min="9984" max="9984" width="14.36328125" style="267" customWidth="1"/>
    <col min="9985" max="9985" width="26.453125" style="267" customWidth="1"/>
    <col min="9986" max="9986" width="20.6328125" style="267" customWidth="1"/>
    <col min="9987" max="9987" width="22.54296875" style="267" customWidth="1"/>
    <col min="9988" max="9988" width="10.36328125" style="267" customWidth="1"/>
    <col min="9989" max="9990" width="18.6328125" style="267" customWidth="1"/>
    <col min="9991" max="10234" width="9.08984375" style="267"/>
    <col min="10235" max="10235" width="6.08984375" style="267" customWidth="1"/>
    <col min="10236" max="10236" width="42.90625" style="267" customWidth="1"/>
    <col min="10237" max="10239" width="0" style="267" hidden="1" customWidth="1"/>
    <col min="10240" max="10240" width="14.36328125" style="267" customWidth="1"/>
    <col min="10241" max="10241" width="26.453125" style="267" customWidth="1"/>
    <col min="10242" max="10242" width="20.6328125" style="267" customWidth="1"/>
    <col min="10243" max="10243" width="22.54296875" style="267" customWidth="1"/>
    <col min="10244" max="10244" width="10.36328125" style="267" customWidth="1"/>
    <col min="10245" max="10246" width="18.6328125" style="267" customWidth="1"/>
    <col min="10247" max="10490" width="9.08984375" style="267"/>
    <col min="10491" max="10491" width="6.08984375" style="267" customWidth="1"/>
    <col min="10492" max="10492" width="42.90625" style="267" customWidth="1"/>
    <col min="10493" max="10495" width="0" style="267" hidden="1" customWidth="1"/>
    <col min="10496" max="10496" width="14.36328125" style="267" customWidth="1"/>
    <col min="10497" max="10497" width="26.453125" style="267" customWidth="1"/>
    <col min="10498" max="10498" width="20.6328125" style="267" customWidth="1"/>
    <col min="10499" max="10499" width="22.54296875" style="267" customWidth="1"/>
    <col min="10500" max="10500" width="10.36328125" style="267" customWidth="1"/>
    <col min="10501" max="10502" width="18.6328125" style="267" customWidth="1"/>
    <col min="10503" max="10746" width="9.08984375" style="267"/>
    <col min="10747" max="10747" width="6.08984375" style="267" customWidth="1"/>
    <col min="10748" max="10748" width="42.90625" style="267" customWidth="1"/>
    <col min="10749" max="10751" width="0" style="267" hidden="1" customWidth="1"/>
    <col min="10752" max="10752" width="14.36328125" style="267" customWidth="1"/>
    <col min="10753" max="10753" width="26.453125" style="267" customWidth="1"/>
    <col min="10754" max="10754" width="20.6328125" style="267" customWidth="1"/>
    <col min="10755" max="10755" width="22.54296875" style="267" customWidth="1"/>
    <col min="10756" max="10756" width="10.36328125" style="267" customWidth="1"/>
    <col min="10757" max="10758" width="18.6328125" style="267" customWidth="1"/>
    <col min="10759" max="11002" width="9.08984375" style="267"/>
    <col min="11003" max="11003" width="6.08984375" style="267" customWidth="1"/>
    <col min="11004" max="11004" width="42.90625" style="267" customWidth="1"/>
    <col min="11005" max="11007" width="0" style="267" hidden="1" customWidth="1"/>
    <col min="11008" max="11008" width="14.36328125" style="267" customWidth="1"/>
    <col min="11009" max="11009" width="26.453125" style="267" customWidth="1"/>
    <col min="11010" max="11010" width="20.6328125" style="267" customWidth="1"/>
    <col min="11011" max="11011" width="22.54296875" style="267" customWidth="1"/>
    <col min="11012" max="11012" width="10.36328125" style="267" customWidth="1"/>
    <col min="11013" max="11014" width="18.6328125" style="267" customWidth="1"/>
    <col min="11015" max="11258" width="9.08984375" style="267"/>
    <col min="11259" max="11259" width="6.08984375" style="267" customWidth="1"/>
    <col min="11260" max="11260" width="42.90625" style="267" customWidth="1"/>
    <col min="11261" max="11263" width="0" style="267" hidden="1" customWidth="1"/>
    <col min="11264" max="11264" width="14.36328125" style="267" customWidth="1"/>
    <col min="11265" max="11265" width="26.453125" style="267" customWidth="1"/>
    <col min="11266" max="11266" width="20.6328125" style="267" customWidth="1"/>
    <col min="11267" max="11267" width="22.54296875" style="267" customWidth="1"/>
    <col min="11268" max="11268" width="10.36328125" style="267" customWidth="1"/>
    <col min="11269" max="11270" width="18.6328125" style="267" customWidth="1"/>
    <col min="11271" max="11514" width="9.08984375" style="267"/>
    <col min="11515" max="11515" width="6.08984375" style="267" customWidth="1"/>
    <col min="11516" max="11516" width="42.90625" style="267" customWidth="1"/>
    <col min="11517" max="11519" width="0" style="267" hidden="1" customWidth="1"/>
    <col min="11520" max="11520" width="14.36328125" style="267" customWidth="1"/>
    <col min="11521" max="11521" width="26.453125" style="267" customWidth="1"/>
    <col min="11522" max="11522" width="20.6328125" style="267" customWidth="1"/>
    <col min="11523" max="11523" width="22.54296875" style="267" customWidth="1"/>
    <col min="11524" max="11524" width="10.36328125" style="267" customWidth="1"/>
    <col min="11525" max="11526" width="18.6328125" style="267" customWidth="1"/>
    <col min="11527" max="11770" width="9.08984375" style="267"/>
    <col min="11771" max="11771" width="6.08984375" style="267" customWidth="1"/>
    <col min="11772" max="11772" width="42.90625" style="267" customWidth="1"/>
    <col min="11773" max="11775" width="0" style="267" hidden="1" customWidth="1"/>
    <col min="11776" max="11776" width="14.36328125" style="267" customWidth="1"/>
    <col min="11777" max="11777" width="26.453125" style="267" customWidth="1"/>
    <col min="11778" max="11778" width="20.6328125" style="267" customWidth="1"/>
    <col min="11779" max="11779" width="22.54296875" style="267" customWidth="1"/>
    <col min="11780" max="11780" width="10.36328125" style="267" customWidth="1"/>
    <col min="11781" max="11782" width="18.6328125" style="267" customWidth="1"/>
    <col min="11783" max="12026" width="9.08984375" style="267"/>
    <col min="12027" max="12027" width="6.08984375" style="267" customWidth="1"/>
    <col min="12028" max="12028" width="42.90625" style="267" customWidth="1"/>
    <col min="12029" max="12031" width="0" style="267" hidden="1" customWidth="1"/>
    <col min="12032" max="12032" width="14.36328125" style="267" customWidth="1"/>
    <col min="12033" max="12033" width="26.453125" style="267" customWidth="1"/>
    <col min="12034" max="12034" width="20.6328125" style="267" customWidth="1"/>
    <col min="12035" max="12035" width="22.54296875" style="267" customWidth="1"/>
    <col min="12036" max="12036" width="10.36328125" style="267" customWidth="1"/>
    <col min="12037" max="12038" width="18.6328125" style="267" customWidth="1"/>
    <col min="12039" max="12282" width="9.08984375" style="267"/>
    <col min="12283" max="12283" width="6.08984375" style="267" customWidth="1"/>
    <col min="12284" max="12284" width="42.90625" style="267" customWidth="1"/>
    <col min="12285" max="12287" width="0" style="267" hidden="1" customWidth="1"/>
    <col min="12288" max="12288" width="14.36328125" style="267" customWidth="1"/>
    <col min="12289" max="12289" width="26.453125" style="267" customWidth="1"/>
    <col min="12290" max="12290" width="20.6328125" style="267" customWidth="1"/>
    <col min="12291" max="12291" width="22.54296875" style="267" customWidth="1"/>
    <col min="12292" max="12292" width="10.36328125" style="267" customWidth="1"/>
    <col min="12293" max="12294" width="18.6328125" style="267" customWidth="1"/>
    <col min="12295" max="12538" width="9.08984375" style="267"/>
    <col min="12539" max="12539" width="6.08984375" style="267" customWidth="1"/>
    <col min="12540" max="12540" width="42.90625" style="267" customWidth="1"/>
    <col min="12541" max="12543" width="0" style="267" hidden="1" customWidth="1"/>
    <col min="12544" max="12544" width="14.36328125" style="267" customWidth="1"/>
    <col min="12545" max="12545" width="26.453125" style="267" customWidth="1"/>
    <col min="12546" max="12546" width="20.6328125" style="267" customWidth="1"/>
    <col min="12547" max="12547" width="22.54296875" style="267" customWidth="1"/>
    <col min="12548" max="12548" width="10.36328125" style="267" customWidth="1"/>
    <col min="12549" max="12550" width="18.6328125" style="267" customWidth="1"/>
    <col min="12551" max="12794" width="9.08984375" style="267"/>
    <col min="12795" max="12795" width="6.08984375" style="267" customWidth="1"/>
    <col min="12796" max="12796" width="42.90625" style="267" customWidth="1"/>
    <col min="12797" max="12799" width="0" style="267" hidden="1" customWidth="1"/>
    <col min="12800" max="12800" width="14.36328125" style="267" customWidth="1"/>
    <col min="12801" max="12801" width="26.453125" style="267" customWidth="1"/>
    <col min="12802" max="12802" width="20.6328125" style="267" customWidth="1"/>
    <col min="12803" max="12803" width="22.54296875" style="267" customWidth="1"/>
    <col min="12804" max="12804" width="10.36328125" style="267" customWidth="1"/>
    <col min="12805" max="12806" width="18.6328125" style="267" customWidth="1"/>
    <col min="12807" max="13050" width="9.08984375" style="267"/>
    <col min="13051" max="13051" width="6.08984375" style="267" customWidth="1"/>
    <col min="13052" max="13052" width="42.90625" style="267" customWidth="1"/>
    <col min="13053" max="13055" width="0" style="267" hidden="1" customWidth="1"/>
    <col min="13056" max="13056" width="14.36328125" style="267" customWidth="1"/>
    <col min="13057" max="13057" width="26.453125" style="267" customWidth="1"/>
    <col min="13058" max="13058" width="20.6328125" style="267" customWidth="1"/>
    <col min="13059" max="13059" width="22.54296875" style="267" customWidth="1"/>
    <col min="13060" max="13060" width="10.36328125" style="267" customWidth="1"/>
    <col min="13061" max="13062" width="18.6328125" style="267" customWidth="1"/>
    <col min="13063" max="13306" width="9.08984375" style="267"/>
    <col min="13307" max="13307" width="6.08984375" style="267" customWidth="1"/>
    <col min="13308" max="13308" width="42.90625" style="267" customWidth="1"/>
    <col min="13309" max="13311" width="0" style="267" hidden="1" customWidth="1"/>
    <col min="13312" max="13312" width="14.36328125" style="267" customWidth="1"/>
    <col min="13313" max="13313" width="26.453125" style="267" customWidth="1"/>
    <col min="13314" max="13314" width="20.6328125" style="267" customWidth="1"/>
    <col min="13315" max="13315" width="22.54296875" style="267" customWidth="1"/>
    <col min="13316" max="13316" width="10.36328125" style="267" customWidth="1"/>
    <col min="13317" max="13318" width="18.6328125" style="267" customWidth="1"/>
    <col min="13319" max="13562" width="9.08984375" style="267"/>
    <col min="13563" max="13563" width="6.08984375" style="267" customWidth="1"/>
    <col min="13564" max="13564" width="42.90625" style="267" customWidth="1"/>
    <col min="13565" max="13567" width="0" style="267" hidden="1" customWidth="1"/>
    <col min="13568" max="13568" width="14.36328125" style="267" customWidth="1"/>
    <col min="13569" max="13569" width="26.453125" style="267" customWidth="1"/>
    <col min="13570" max="13570" width="20.6328125" style="267" customWidth="1"/>
    <col min="13571" max="13571" width="22.54296875" style="267" customWidth="1"/>
    <col min="13572" max="13572" width="10.36328125" style="267" customWidth="1"/>
    <col min="13573" max="13574" width="18.6328125" style="267" customWidth="1"/>
    <col min="13575" max="13818" width="9.08984375" style="267"/>
    <col min="13819" max="13819" width="6.08984375" style="267" customWidth="1"/>
    <col min="13820" max="13820" width="42.90625" style="267" customWidth="1"/>
    <col min="13821" max="13823" width="0" style="267" hidden="1" customWidth="1"/>
    <col min="13824" max="13824" width="14.36328125" style="267" customWidth="1"/>
    <col min="13825" max="13825" width="26.453125" style="267" customWidth="1"/>
    <col min="13826" max="13826" width="20.6328125" style="267" customWidth="1"/>
    <col min="13827" max="13827" width="22.54296875" style="267" customWidth="1"/>
    <col min="13828" max="13828" width="10.36328125" style="267" customWidth="1"/>
    <col min="13829" max="13830" width="18.6328125" style="267" customWidth="1"/>
    <col min="13831" max="14074" width="9.08984375" style="267"/>
    <col min="14075" max="14075" width="6.08984375" style="267" customWidth="1"/>
    <col min="14076" max="14076" width="42.90625" style="267" customWidth="1"/>
    <col min="14077" max="14079" width="0" style="267" hidden="1" customWidth="1"/>
    <col min="14080" max="14080" width="14.36328125" style="267" customWidth="1"/>
    <col min="14081" max="14081" width="26.453125" style="267" customWidth="1"/>
    <col min="14082" max="14082" width="20.6328125" style="267" customWidth="1"/>
    <col min="14083" max="14083" width="22.54296875" style="267" customWidth="1"/>
    <col min="14084" max="14084" width="10.36328125" style="267" customWidth="1"/>
    <col min="14085" max="14086" width="18.6328125" style="267" customWidth="1"/>
    <col min="14087" max="14330" width="9.08984375" style="267"/>
    <col min="14331" max="14331" width="6.08984375" style="267" customWidth="1"/>
    <col min="14332" max="14332" width="42.90625" style="267" customWidth="1"/>
    <col min="14333" max="14335" width="0" style="267" hidden="1" customWidth="1"/>
    <col min="14336" max="14336" width="14.36328125" style="267" customWidth="1"/>
    <col min="14337" max="14337" width="26.453125" style="267" customWidth="1"/>
    <col min="14338" max="14338" width="20.6328125" style="267" customWidth="1"/>
    <col min="14339" max="14339" width="22.54296875" style="267" customWidth="1"/>
    <col min="14340" max="14340" width="10.36328125" style="267" customWidth="1"/>
    <col min="14341" max="14342" width="18.6328125" style="267" customWidth="1"/>
    <col min="14343" max="14586" width="9.08984375" style="267"/>
    <col min="14587" max="14587" width="6.08984375" style="267" customWidth="1"/>
    <col min="14588" max="14588" width="42.90625" style="267" customWidth="1"/>
    <col min="14589" max="14591" width="0" style="267" hidden="1" customWidth="1"/>
    <col min="14592" max="14592" width="14.36328125" style="267" customWidth="1"/>
    <col min="14593" max="14593" width="26.453125" style="267" customWidth="1"/>
    <col min="14594" max="14594" width="20.6328125" style="267" customWidth="1"/>
    <col min="14595" max="14595" width="22.54296875" style="267" customWidth="1"/>
    <col min="14596" max="14596" width="10.36328125" style="267" customWidth="1"/>
    <col min="14597" max="14598" width="18.6328125" style="267" customWidth="1"/>
    <col min="14599" max="14842" width="9.08984375" style="267"/>
    <col min="14843" max="14843" width="6.08984375" style="267" customWidth="1"/>
    <col min="14844" max="14844" width="42.90625" style="267" customWidth="1"/>
    <col min="14845" max="14847" width="0" style="267" hidden="1" customWidth="1"/>
    <col min="14848" max="14848" width="14.36328125" style="267" customWidth="1"/>
    <col min="14849" max="14849" width="26.453125" style="267" customWidth="1"/>
    <col min="14850" max="14850" width="20.6328125" style="267" customWidth="1"/>
    <col min="14851" max="14851" width="22.54296875" style="267" customWidth="1"/>
    <col min="14852" max="14852" width="10.36328125" style="267" customWidth="1"/>
    <col min="14853" max="14854" width="18.6328125" style="267" customWidth="1"/>
    <col min="14855" max="15098" width="9.08984375" style="267"/>
    <col min="15099" max="15099" width="6.08984375" style="267" customWidth="1"/>
    <col min="15100" max="15100" width="42.90625" style="267" customWidth="1"/>
    <col min="15101" max="15103" width="0" style="267" hidden="1" customWidth="1"/>
    <col min="15104" max="15104" width="14.36328125" style="267" customWidth="1"/>
    <col min="15105" max="15105" width="26.453125" style="267" customWidth="1"/>
    <col min="15106" max="15106" width="20.6328125" style="267" customWidth="1"/>
    <col min="15107" max="15107" width="22.54296875" style="267" customWidth="1"/>
    <col min="15108" max="15108" width="10.36328125" style="267" customWidth="1"/>
    <col min="15109" max="15110" width="18.6328125" style="267" customWidth="1"/>
    <col min="15111" max="15354" width="9.08984375" style="267"/>
    <col min="15355" max="15355" width="6.08984375" style="267" customWidth="1"/>
    <col min="15356" max="15356" width="42.90625" style="267" customWidth="1"/>
    <col min="15357" max="15359" width="0" style="267" hidden="1" customWidth="1"/>
    <col min="15360" max="15360" width="14.36328125" style="267" customWidth="1"/>
    <col min="15361" max="15361" width="26.453125" style="267" customWidth="1"/>
    <col min="15362" max="15362" width="20.6328125" style="267" customWidth="1"/>
    <col min="15363" max="15363" width="22.54296875" style="267" customWidth="1"/>
    <col min="15364" max="15364" width="10.36328125" style="267" customWidth="1"/>
    <col min="15365" max="15366" width="18.6328125" style="267" customWidth="1"/>
    <col min="15367" max="15610" width="9.08984375" style="267"/>
    <col min="15611" max="15611" width="6.08984375" style="267" customWidth="1"/>
    <col min="15612" max="15612" width="42.90625" style="267" customWidth="1"/>
    <col min="15613" max="15615" width="0" style="267" hidden="1" customWidth="1"/>
    <col min="15616" max="15616" width="14.36328125" style="267" customWidth="1"/>
    <col min="15617" max="15617" width="26.453125" style="267" customWidth="1"/>
    <col min="15618" max="15618" width="20.6328125" style="267" customWidth="1"/>
    <col min="15619" max="15619" width="22.54296875" style="267" customWidth="1"/>
    <col min="15620" max="15620" width="10.36328125" style="267" customWidth="1"/>
    <col min="15621" max="15622" width="18.6328125" style="267" customWidth="1"/>
    <col min="15623" max="15866" width="9.08984375" style="267"/>
    <col min="15867" max="15867" width="6.08984375" style="267" customWidth="1"/>
    <col min="15868" max="15868" width="42.90625" style="267" customWidth="1"/>
    <col min="15869" max="15871" width="0" style="267" hidden="1" customWidth="1"/>
    <col min="15872" max="15872" width="14.36328125" style="267" customWidth="1"/>
    <col min="15873" max="15873" width="26.453125" style="267" customWidth="1"/>
    <col min="15874" max="15874" width="20.6328125" style="267" customWidth="1"/>
    <col min="15875" max="15875" width="22.54296875" style="267" customWidth="1"/>
    <col min="15876" max="15876" width="10.36328125" style="267" customWidth="1"/>
    <col min="15877" max="15878" width="18.6328125" style="267" customWidth="1"/>
    <col min="15879" max="16122" width="9.08984375" style="267"/>
    <col min="16123" max="16123" width="6.08984375" style="267" customWidth="1"/>
    <col min="16124" max="16124" width="42.90625" style="267" customWidth="1"/>
    <col min="16125" max="16127" width="0" style="267" hidden="1" customWidth="1"/>
    <col min="16128" max="16128" width="14.36328125" style="267" customWidth="1"/>
    <col min="16129" max="16129" width="26.453125" style="267" customWidth="1"/>
    <col min="16130" max="16130" width="20.6328125" style="267" customWidth="1"/>
    <col min="16131" max="16131" width="22.54296875" style="267" customWidth="1"/>
    <col min="16132" max="16132" width="10.36328125" style="267" customWidth="1"/>
    <col min="16133" max="16134" width="18.6328125" style="267" customWidth="1"/>
    <col min="16135" max="16384" width="9.08984375" style="267"/>
  </cols>
  <sheetData>
    <row r="1" spans="1:11" ht="7.5" customHeight="1" x14ac:dyDescent="0.35">
      <c r="A1" s="678"/>
      <c r="B1" s="678"/>
      <c r="C1" s="318"/>
    </row>
    <row r="2" spans="1:11" x14ac:dyDescent="0.35">
      <c r="A2" s="679" t="s">
        <v>648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</row>
    <row r="3" spans="1:11" x14ac:dyDescent="0.35">
      <c r="A3" s="329"/>
      <c r="B3" s="330"/>
      <c r="C3" s="330"/>
      <c r="D3" s="680" t="s">
        <v>475</v>
      </c>
      <c r="E3" s="680"/>
      <c r="F3" s="680"/>
      <c r="G3" s="680"/>
      <c r="H3" s="680"/>
      <c r="I3" s="680"/>
      <c r="J3" s="680"/>
      <c r="K3" s="680"/>
    </row>
    <row r="4" spans="1:11" ht="32.25" customHeight="1" x14ac:dyDescent="0.35">
      <c r="A4" s="271" t="s">
        <v>16</v>
      </c>
      <c r="B4" s="271" t="s">
        <v>315</v>
      </c>
      <c r="C4" s="271" t="s">
        <v>541</v>
      </c>
      <c r="D4" s="271" t="s">
        <v>606</v>
      </c>
      <c r="E4" s="271"/>
      <c r="F4" s="271"/>
      <c r="G4" s="271"/>
      <c r="H4" s="271" t="s">
        <v>649</v>
      </c>
      <c r="I4" s="271" t="s">
        <v>611</v>
      </c>
      <c r="J4" s="271" t="s">
        <v>650</v>
      </c>
      <c r="K4" s="271" t="s">
        <v>647</v>
      </c>
    </row>
    <row r="5" spans="1:11" ht="16.5" customHeight="1" x14ac:dyDescent="0.35">
      <c r="A5" s="636" t="s">
        <v>8</v>
      </c>
      <c r="B5" s="332" t="s">
        <v>317</v>
      </c>
      <c r="C5" s="325">
        <f>C6+C13+C18+C21+C28+C29+C30</f>
        <v>346142.4</v>
      </c>
      <c r="D5" s="325">
        <f>D6+D13+D18+D21+D28+D29+D30</f>
        <v>339898.74800000002</v>
      </c>
      <c r="E5" s="325"/>
      <c r="F5" s="325"/>
      <c r="G5" s="325"/>
      <c r="H5" s="325">
        <f>H6+H13+H18+H21+H28+H29+H30</f>
        <v>389898.74800000002</v>
      </c>
      <c r="I5" s="325">
        <f>I6+I13+I18+I21+I28+I29+I30+I31+I32</f>
        <v>426310097646</v>
      </c>
      <c r="J5" s="631">
        <f>I5/1000000</f>
        <v>426310.09764599998</v>
      </c>
      <c r="K5" s="635">
        <f>J5/H5</f>
        <v>1.0933866800875185</v>
      </c>
    </row>
    <row r="6" spans="1:11" ht="16.5" customHeight="1" x14ac:dyDescent="0.35">
      <c r="A6" s="637">
        <v>1</v>
      </c>
      <c r="B6" s="333" t="s">
        <v>318</v>
      </c>
      <c r="C6" s="296">
        <f>SUM(C7:C12)</f>
        <v>270607</v>
      </c>
      <c r="D6" s="296">
        <f>SUM(D7:D12)</f>
        <v>264112.24800000002</v>
      </c>
      <c r="E6" s="296"/>
      <c r="F6" s="296"/>
      <c r="G6" s="296"/>
      <c r="H6" s="296">
        <f>SUM(H7:H12)</f>
        <v>314112.24800000002</v>
      </c>
      <c r="I6" s="296">
        <f>SUM(I7:I12)</f>
        <v>351828389811</v>
      </c>
      <c r="J6" s="631">
        <f t="shared" ref="J6:J71" si="0">I6/1000000</f>
        <v>351828.38981099997</v>
      </c>
      <c r="K6" s="635">
        <f t="shared" ref="K6:K71" si="1">J6/H6</f>
        <v>1.1200721781819853</v>
      </c>
    </row>
    <row r="7" spans="1:11" ht="16.5" customHeight="1" x14ac:dyDescent="0.35">
      <c r="A7" s="283" t="s">
        <v>319</v>
      </c>
      <c r="B7" s="334" t="s">
        <v>320</v>
      </c>
      <c r="C7" s="648">
        <v>2900</v>
      </c>
      <c r="D7" s="298">
        <v>3066</v>
      </c>
      <c r="E7" s="298"/>
      <c r="F7" s="298"/>
      <c r="G7" s="298"/>
      <c r="H7" s="298">
        <f>D7</f>
        <v>3066</v>
      </c>
      <c r="I7" s="298">
        <f>700230000+1341002500</f>
        <v>2041232500</v>
      </c>
      <c r="J7" s="632">
        <f t="shared" si="0"/>
        <v>2041.2325000000001</v>
      </c>
      <c r="K7" s="634">
        <f t="shared" si="1"/>
        <v>0.66576402478799745</v>
      </c>
    </row>
    <row r="8" spans="1:11" ht="16.5" customHeight="1" x14ac:dyDescent="0.35">
      <c r="A8" s="283" t="s">
        <v>321</v>
      </c>
      <c r="B8" s="334" t="s">
        <v>322</v>
      </c>
      <c r="C8" s="648">
        <v>256951</v>
      </c>
      <c r="D8" s="298">
        <v>256951</v>
      </c>
      <c r="E8" s="298"/>
      <c r="F8" s="298"/>
      <c r="G8" s="298"/>
      <c r="H8" s="298">
        <f>D8+50000</f>
        <v>306951</v>
      </c>
      <c r="I8" s="298">
        <f>320927823791+166276500+672072000+23794558005-I12</f>
        <v>321948279551</v>
      </c>
      <c r="J8" s="632">
        <f t="shared" si="0"/>
        <v>321948.27955099999</v>
      </c>
      <c r="K8" s="634">
        <f t="shared" si="1"/>
        <v>1.0488588717775802</v>
      </c>
    </row>
    <row r="9" spans="1:11" ht="16.5" customHeight="1" x14ac:dyDescent="0.35">
      <c r="A9" s="283" t="s">
        <v>323</v>
      </c>
      <c r="B9" s="334" t="s">
        <v>324</v>
      </c>
      <c r="C9" s="648">
        <v>11805</v>
      </c>
      <c r="D9" s="298">
        <v>8577.06</v>
      </c>
      <c r="E9" s="298"/>
      <c r="F9" s="298"/>
      <c r="G9" s="298"/>
      <c r="H9" s="298">
        <f>D9</f>
        <v>8577.06</v>
      </c>
      <c r="I9" s="298">
        <f>8099249000-2402103000</f>
        <v>5697146000</v>
      </c>
      <c r="J9" s="632">
        <f t="shared" si="0"/>
        <v>5697.1459999999997</v>
      </c>
      <c r="K9" s="634">
        <f t="shared" si="1"/>
        <v>0.66423063380692215</v>
      </c>
    </row>
    <row r="10" spans="1:11" ht="16.5" customHeight="1" x14ac:dyDescent="0.35">
      <c r="A10" s="283" t="s">
        <v>325</v>
      </c>
      <c r="B10" s="334" t="s">
        <v>326</v>
      </c>
      <c r="C10" s="648"/>
      <c r="D10" s="298">
        <v>-13081.812</v>
      </c>
      <c r="E10" s="298"/>
      <c r="F10" s="298"/>
      <c r="G10" s="298"/>
      <c r="H10" s="298">
        <f>D10</f>
        <v>-13081.812</v>
      </c>
      <c r="I10" s="298">
        <f>-1536112598-I11+65393613</f>
        <v>-802441585</v>
      </c>
      <c r="J10" s="632">
        <f t="shared" si="0"/>
        <v>-802.44158500000003</v>
      </c>
      <c r="K10" s="634">
        <f t="shared" si="1"/>
        <v>6.1340247436670089E-2</v>
      </c>
    </row>
    <row r="11" spans="1:11" ht="16.5" customHeight="1" x14ac:dyDescent="0.35">
      <c r="A11" s="283" t="s">
        <v>327</v>
      </c>
      <c r="B11" s="334" t="s">
        <v>328</v>
      </c>
      <c r="C11" s="649">
        <v>-1049</v>
      </c>
      <c r="D11" s="298">
        <v>-1400</v>
      </c>
      <c r="E11" s="298"/>
      <c r="F11" s="298"/>
      <c r="G11" s="298"/>
      <c r="H11" s="298">
        <v>-1400</v>
      </c>
      <c r="I11" s="298">
        <f>-64537200-240207000-363533200</f>
        <v>-668277400</v>
      </c>
      <c r="J11" s="632">
        <f t="shared" si="0"/>
        <v>-668.27739999999994</v>
      </c>
      <c r="K11" s="634">
        <f t="shared" si="1"/>
        <v>0.47734099999999996</v>
      </c>
    </row>
    <row r="12" spans="1:11" ht="16.5" customHeight="1" x14ac:dyDescent="0.35">
      <c r="A12" s="283" t="s">
        <v>329</v>
      </c>
      <c r="B12" s="299" t="s">
        <v>330</v>
      </c>
      <c r="C12" s="649"/>
      <c r="D12" s="298">
        <v>10000</v>
      </c>
      <c r="E12" s="298"/>
      <c r="F12" s="298"/>
      <c r="G12" s="298"/>
      <c r="H12" s="298">
        <f>'TỔNG_ KH 2024 điều chỉnh'!R23</f>
        <v>10000</v>
      </c>
      <c r="I12" s="298">
        <v>23612450745</v>
      </c>
      <c r="J12" s="632">
        <f t="shared" si="0"/>
        <v>23612.450744999998</v>
      </c>
      <c r="K12" s="634">
        <f t="shared" si="1"/>
        <v>2.3612450744999998</v>
      </c>
    </row>
    <row r="13" spans="1:11" ht="16.5" customHeight="1" x14ac:dyDescent="0.35">
      <c r="A13" s="637">
        <v>2</v>
      </c>
      <c r="B13" s="333" t="s">
        <v>331</v>
      </c>
      <c r="C13" s="296">
        <f>SUM(C14:C17)</f>
        <v>3394</v>
      </c>
      <c r="D13" s="296">
        <f>SUM(D14:D17)</f>
        <v>3180</v>
      </c>
      <c r="E13" s="296"/>
      <c r="F13" s="296"/>
      <c r="G13" s="296"/>
      <c r="H13" s="296">
        <f>SUM(H14:H17)</f>
        <v>3180</v>
      </c>
      <c r="I13" s="296">
        <f>SUM(I14:I17)</f>
        <v>3055930500</v>
      </c>
      <c r="J13" s="631">
        <f t="shared" si="0"/>
        <v>3055.9304999999999</v>
      </c>
      <c r="K13" s="634">
        <f t="shared" si="1"/>
        <v>0.96098443396226418</v>
      </c>
    </row>
    <row r="14" spans="1:11" ht="16.5" customHeight="1" x14ac:dyDescent="0.35">
      <c r="A14" s="283" t="s">
        <v>332</v>
      </c>
      <c r="B14" s="337" t="s">
        <v>333</v>
      </c>
      <c r="C14" s="648">
        <v>1064</v>
      </c>
      <c r="D14" s="298">
        <v>1000</v>
      </c>
      <c r="E14" s="298"/>
      <c r="F14" s="298"/>
      <c r="G14" s="298"/>
      <c r="H14" s="298">
        <v>1000</v>
      </c>
      <c r="I14" s="298">
        <f>1438250000+18900000+23400000-30770000</f>
        <v>1449780000</v>
      </c>
      <c r="J14" s="632">
        <f t="shared" si="0"/>
        <v>1449.78</v>
      </c>
      <c r="K14" s="634">
        <f t="shared" si="1"/>
        <v>1.4497800000000001</v>
      </c>
    </row>
    <row r="15" spans="1:11" ht="16.5" customHeight="1" x14ac:dyDescent="0.35">
      <c r="A15" s="283" t="s">
        <v>334</v>
      </c>
      <c r="B15" s="337" t="s">
        <v>335</v>
      </c>
      <c r="C15" s="648">
        <v>1360</v>
      </c>
      <c r="D15" s="298">
        <v>1300</v>
      </c>
      <c r="E15" s="298"/>
      <c r="F15" s="298"/>
      <c r="G15" s="298"/>
      <c r="H15" s="298">
        <v>1300</v>
      </c>
      <c r="I15" s="298">
        <f>300750000+672543000+5500000+162000000+10100000+6000000+20800000+3900000</f>
        <v>1181593000</v>
      </c>
      <c r="J15" s="632">
        <f t="shared" si="0"/>
        <v>1181.5930000000001</v>
      </c>
      <c r="K15" s="634">
        <f t="shared" si="1"/>
        <v>0.90891769230769237</v>
      </c>
    </row>
    <row r="16" spans="1:11" ht="16.5" customHeight="1" x14ac:dyDescent="0.35">
      <c r="A16" s="283" t="s">
        <v>365</v>
      </c>
      <c r="B16" s="337" t="s">
        <v>337</v>
      </c>
      <c r="C16" s="648">
        <v>135</v>
      </c>
      <c r="D16" s="298">
        <v>80</v>
      </c>
      <c r="E16" s="298"/>
      <c r="F16" s="298"/>
      <c r="G16" s="298"/>
      <c r="H16" s="298">
        <v>80</v>
      </c>
      <c r="I16" s="298">
        <f>271145000</f>
        <v>271145000</v>
      </c>
      <c r="J16" s="632">
        <f t="shared" si="0"/>
        <v>271.14499999999998</v>
      </c>
      <c r="K16" s="634">
        <f t="shared" si="1"/>
        <v>3.3893125</v>
      </c>
    </row>
    <row r="17" spans="1:11" ht="16.5" customHeight="1" x14ac:dyDescent="0.35">
      <c r="A17" s="283" t="s">
        <v>336</v>
      </c>
      <c r="B17" s="337" t="s">
        <v>476</v>
      </c>
      <c r="C17" s="648">
        <v>835</v>
      </c>
      <c r="D17" s="298">
        <v>800</v>
      </c>
      <c r="E17" s="298"/>
      <c r="F17" s="298"/>
      <c r="G17" s="298"/>
      <c r="H17" s="298">
        <v>800</v>
      </c>
      <c r="I17" s="298">
        <f>64000000+89412500</f>
        <v>153412500</v>
      </c>
      <c r="J17" s="632">
        <f t="shared" si="0"/>
        <v>153.41249999999999</v>
      </c>
      <c r="K17" s="634">
        <f t="shared" si="1"/>
        <v>0.191765625</v>
      </c>
    </row>
    <row r="18" spans="1:11" ht="16.5" customHeight="1" x14ac:dyDescent="0.35">
      <c r="A18" s="637">
        <v>3</v>
      </c>
      <c r="B18" s="333" t="s">
        <v>339</v>
      </c>
      <c r="C18" s="296">
        <v>16886</v>
      </c>
      <c r="D18" s="296">
        <f>D19+D20</f>
        <v>16886</v>
      </c>
      <c r="E18" s="296"/>
      <c r="F18" s="296"/>
      <c r="G18" s="296"/>
      <c r="H18" s="296">
        <f>H19+H20</f>
        <v>16886</v>
      </c>
      <c r="I18" s="296">
        <f>SUM(I19:I20)</f>
        <v>12072602051</v>
      </c>
      <c r="J18" s="631">
        <f t="shared" si="0"/>
        <v>12072.602051</v>
      </c>
      <c r="K18" s="634">
        <f t="shared" si="1"/>
        <v>0.71494741507757908</v>
      </c>
    </row>
    <row r="19" spans="1:11" ht="16.5" customHeight="1" x14ac:dyDescent="0.35">
      <c r="A19" s="283" t="s">
        <v>340</v>
      </c>
      <c r="B19" s="334" t="s">
        <v>341</v>
      </c>
      <c r="C19" s="648"/>
      <c r="D19" s="298">
        <v>16786</v>
      </c>
      <c r="E19" s="298"/>
      <c r="F19" s="298"/>
      <c r="G19" s="298"/>
      <c r="H19" s="298">
        <v>16786</v>
      </c>
      <c r="I19" s="298">
        <f>11817224095+150247073</f>
        <v>11967471168</v>
      </c>
      <c r="J19" s="632">
        <f t="shared" si="0"/>
        <v>11967.471168</v>
      </c>
      <c r="K19" s="634">
        <f t="shared" si="1"/>
        <v>0.71294359394733708</v>
      </c>
    </row>
    <row r="20" spans="1:11" ht="16.5" customHeight="1" x14ac:dyDescent="0.35">
      <c r="A20" s="283" t="s">
        <v>380</v>
      </c>
      <c r="B20" s="334" t="s">
        <v>342</v>
      </c>
      <c r="C20" s="648">
        <v>110</v>
      </c>
      <c r="D20" s="298">
        <v>100</v>
      </c>
      <c r="E20" s="298"/>
      <c r="F20" s="298"/>
      <c r="G20" s="298"/>
      <c r="H20" s="298">
        <v>100</v>
      </c>
      <c r="I20" s="298">
        <f>104500000+630883</f>
        <v>105130883</v>
      </c>
      <c r="J20" s="632">
        <f t="shared" si="0"/>
        <v>105.130883</v>
      </c>
      <c r="K20" s="634">
        <f t="shared" si="1"/>
        <v>1.05130883</v>
      </c>
    </row>
    <row r="21" spans="1:11" ht="16.5" customHeight="1" x14ac:dyDescent="0.35">
      <c r="A21" s="637">
        <v>4</v>
      </c>
      <c r="B21" s="333" t="s">
        <v>343</v>
      </c>
      <c r="C21" s="296">
        <f>SUM(C22:C27)</f>
        <v>51748.4</v>
      </c>
      <c r="D21" s="296">
        <f>SUM(D22:D27)</f>
        <v>47700.5</v>
      </c>
      <c r="E21" s="296"/>
      <c r="F21" s="296"/>
      <c r="G21" s="296"/>
      <c r="H21" s="296">
        <f>SUM(H22:H27)</f>
        <v>47700.5</v>
      </c>
      <c r="I21" s="296">
        <f>SUM(I22:I27)</f>
        <v>46399047283</v>
      </c>
      <c r="J21" s="631">
        <f t="shared" si="0"/>
        <v>46399.047283</v>
      </c>
      <c r="K21" s="634">
        <f t="shared" si="1"/>
        <v>0.97271616194798793</v>
      </c>
    </row>
    <row r="22" spans="1:11" ht="16.5" customHeight="1" x14ac:dyDescent="0.35">
      <c r="A22" s="283" t="s">
        <v>344</v>
      </c>
      <c r="B22" s="299" t="s">
        <v>345</v>
      </c>
      <c r="C22" s="648">
        <v>4367</v>
      </c>
      <c r="D22" s="298">
        <v>4566</v>
      </c>
      <c r="E22" s="298"/>
      <c r="F22" s="298"/>
      <c r="G22" s="298"/>
      <c r="H22" s="298">
        <v>4566</v>
      </c>
      <c r="I22" s="298">
        <f>3203964000-500-26529700</f>
        <v>3177433800</v>
      </c>
      <c r="J22" s="632">
        <f t="shared" si="0"/>
        <v>3177.4337999999998</v>
      </c>
      <c r="K22" s="634">
        <f t="shared" si="1"/>
        <v>0.69589001314060439</v>
      </c>
    </row>
    <row r="23" spans="1:11" ht="16.5" customHeight="1" x14ac:dyDescent="0.35">
      <c r="A23" s="283" t="s">
        <v>346</v>
      </c>
      <c r="B23" s="299" t="s">
        <v>347</v>
      </c>
      <c r="C23" s="648">
        <v>7428</v>
      </c>
      <c r="D23" s="298">
        <v>11034.5</v>
      </c>
      <c r="E23" s="298"/>
      <c r="F23" s="298"/>
      <c r="G23" s="298"/>
      <c r="H23" s="298">
        <v>11034.5</v>
      </c>
      <c r="I23" s="298">
        <f>9933108725-496655436</f>
        <v>9436453289</v>
      </c>
      <c r="J23" s="632">
        <f t="shared" si="0"/>
        <v>9436.4532889999991</v>
      </c>
      <c r="K23" s="634">
        <f t="shared" si="1"/>
        <v>0.85517724310118259</v>
      </c>
    </row>
    <row r="24" spans="1:11" ht="16.5" customHeight="1" x14ac:dyDescent="0.35">
      <c r="A24" s="283" t="s">
        <v>348</v>
      </c>
      <c r="B24" s="302" t="s">
        <v>349</v>
      </c>
      <c r="C24" s="648">
        <v>3796</v>
      </c>
      <c r="D24" s="324">
        <v>3800</v>
      </c>
      <c r="E24" s="324"/>
      <c r="F24" s="324"/>
      <c r="G24" s="324"/>
      <c r="H24" s="324">
        <v>3800</v>
      </c>
      <c r="I24" s="324">
        <v>0</v>
      </c>
      <c r="J24" s="632">
        <f t="shared" si="0"/>
        <v>0</v>
      </c>
      <c r="K24" s="634">
        <f t="shared" si="1"/>
        <v>0</v>
      </c>
    </row>
    <row r="25" spans="1:11" ht="16.5" customHeight="1" x14ac:dyDescent="0.35">
      <c r="A25" s="283" t="s">
        <v>350</v>
      </c>
      <c r="B25" s="302" t="s">
        <v>351</v>
      </c>
      <c r="C25" s="648">
        <v>31447</v>
      </c>
      <c r="D25" s="324">
        <v>26000</v>
      </c>
      <c r="E25" s="324"/>
      <c r="F25" s="324"/>
      <c r="G25" s="324"/>
      <c r="H25" s="324">
        <v>26000</v>
      </c>
      <c r="I25" s="324">
        <v>29335660773</v>
      </c>
      <c r="J25" s="632">
        <f t="shared" si="0"/>
        <v>29335.660773</v>
      </c>
      <c r="K25" s="634">
        <f t="shared" si="1"/>
        <v>1.1282946451153846</v>
      </c>
    </row>
    <row r="26" spans="1:11" ht="16.5" customHeight="1" x14ac:dyDescent="0.35">
      <c r="A26" s="283" t="s">
        <v>352</v>
      </c>
      <c r="B26" s="302" t="s">
        <v>353</v>
      </c>
      <c r="C26" s="648">
        <v>2306.4</v>
      </c>
      <c r="D26" s="298">
        <v>2300</v>
      </c>
      <c r="E26" s="298"/>
      <c r="F26" s="298"/>
      <c r="G26" s="298"/>
      <c r="H26" s="298">
        <v>2300</v>
      </c>
      <c r="I26" s="298">
        <f>2728240000-136412000</f>
        <v>2591828000</v>
      </c>
      <c r="J26" s="632">
        <f t="shared" si="0"/>
        <v>2591.828</v>
      </c>
      <c r="K26" s="634">
        <f t="shared" si="1"/>
        <v>1.1268817391304349</v>
      </c>
    </row>
    <row r="27" spans="1:11" ht="16.5" customHeight="1" x14ac:dyDescent="0.35">
      <c r="A27" s="283" t="s">
        <v>385</v>
      </c>
      <c r="B27" s="302" t="s">
        <v>542</v>
      </c>
      <c r="C27" s="648">
        <v>2404</v>
      </c>
      <c r="D27" s="298"/>
      <c r="E27" s="298"/>
      <c r="F27" s="298"/>
      <c r="G27" s="298"/>
      <c r="H27" s="298"/>
      <c r="I27" s="298">
        <v>1857671421</v>
      </c>
      <c r="J27" s="632">
        <f t="shared" si="0"/>
        <v>1857.671421</v>
      </c>
      <c r="K27" s="634"/>
    </row>
    <row r="28" spans="1:11" ht="30" customHeight="1" x14ac:dyDescent="0.35">
      <c r="A28" s="637">
        <v>5</v>
      </c>
      <c r="B28" s="333" t="s">
        <v>651</v>
      </c>
      <c r="C28" s="650">
        <v>3333</v>
      </c>
      <c r="D28" s="296">
        <v>3520</v>
      </c>
      <c r="E28" s="296"/>
      <c r="F28" s="296"/>
      <c r="G28" s="296"/>
      <c r="H28" s="296">
        <v>3520</v>
      </c>
      <c r="I28" s="296">
        <v>3027079550</v>
      </c>
      <c r="J28" s="631">
        <f t="shared" si="0"/>
        <v>3027.0795499999999</v>
      </c>
      <c r="K28" s="634">
        <f t="shared" si="1"/>
        <v>0.85996578125000001</v>
      </c>
    </row>
    <row r="29" spans="1:11" ht="42" customHeight="1" x14ac:dyDescent="0.35">
      <c r="A29" s="637">
        <v>6</v>
      </c>
      <c r="B29" s="333" t="s">
        <v>477</v>
      </c>
      <c r="C29" s="650">
        <v>0</v>
      </c>
      <c r="D29" s="296">
        <v>1000</v>
      </c>
      <c r="E29" s="296"/>
      <c r="F29" s="296"/>
      <c r="G29" s="296"/>
      <c r="H29" s="296">
        <v>1000</v>
      </c>
      <c r="I29" s="296">
        <v>0</v>
      </c>
      <c r="J29" s="631">
        <f t="shared" si="0"/>
        <v>0</v>
      </c>
      <c r="K29" s="634">
        <f t="shared" si="1"/>
        <v>0</v>
      </c>
    </row>
    <row r="30" spans="1:11" ht="20.25" customHeight="1" x14ac:dyDescent="0.35">
      <c r="A30" s="637">
        <v>7</v>
      </c>
      <c r="B30" s="333" t="s">
        <v>478</v>
      </c>
      <c r="C30" s="651">
        <v>174</v>
      </c>
      <c r="D30" s="296">
        <v>3500</v>
      </c>
      <c r="E30" s="296"/>
      <c r="F30" s="296"/>
      <c r="G30" s="296"/>
      <c r="H30" s="296">
        <v>3500</v>
      </c>
      <c r="I30" s="296">
        <v>0</v>
      </c>
      <c r="J30" s="631">
        <f t="shared" si="0"/>
        <v>0</v>
      </c>
      <c r="K30" s="634">
        <f t="shared" si="1"/>
        <v>0</v>
      </c>
    </row>
    <row r="31" spans="1:11" ht="27" customHeight="1" x14ac:dyDescent="0.35">
      <c r="A31" s="637">
        <v>8</v>
      </c>
      <c r="B31" s="333" t="s">
        <v>653</v>
      </c>
      <c r="C31" s="651"/>
      <c r="D31" s="296"/>
      <c r="E31" s="296"/>
      <c r="F31" s="296"/>
      <c r="G31" s="296"/>
      <c r="H31" s="296"/>
      <c r="I31" s="296">
        <v>3323353709</v>
      </c>
      <c r="J31" s="631">
        <f t="shared" si="0"/>
        <v>3323.353709</v>
      </c>
      <c r="K31" s="634"/>
    </row>
    <row r="32" spans="1:11" ht="16.5" customHeight="1" x14ac:dyDescent="0.35">
      <c r="A32" s="637">
        <v>9</v>
      </c>
      <c r="B32" s="333" t="s">
        <v>646</v>
      </c>
      <c r="C32" s="651"/>
      <c r="D32" s="296"/>
      <c r="E32" s="296"/>
      <c r="F32" s="296"/>
      <c r="G32" s="296"/>
      <c r="H32" s="296"/>
      <c r="I32" s="296">
        <v>6603694742</v>
      </c>
      <c r="J32" s="631">
        <f t="shared" si="0"/>
        <v>6603.6947419999997</v>
      </c>
      <c r="K32" s="634"/>
    </row>
    <row r="33" spans="1:11" s="275" customFormat="1" ht="16.5" customHeight="1" x14ac:dyDescent="0.3">
      <c r="A33" s="313" t="s">
        <v>81</v>
      </c>
      <c r="B33" s="342" t="s">
        <v>479</v>
      </c>
      <c r="C33" s="343">
        <f>C34+C39</f>
        <v>66715</v>
      </c>
      <c r="D33" s="343">
        <f>D34+D39</f>
        <v>204412.94673200001</v>
      </c>
      <c r="E33" s="343"/>
      <c r="F33" s="343"/>
      <c r="G33" s="343"/>
      <c r="H33" s="343">
        <f>H34+H39</f>
        <v>227556.80121199999</v>
      </c>
      <c r="I33" s="343">
        <f>I34+I39</f>
        <v>174373141846</v>
      </c>
      <c r="J33" s="631">
        <f t="shared" si="0"/>
        <v>174373.14184600001</v>
      </c>
      <c r="K33" s="634">
        <f t="shared" si="1"/>
        <v>0.7662840263058005</v>
      </c>
    </row>
    <row r="34" spans="1:11" s="275" customFormat="1" ht="16.5" customHeight="1" x14ac:dyDescent="0.3">
      <c r="A34" s="637">
        <v>1</v>
      </c>
      <c r="B34" s="333" t="s">
        <v>356</v>
      </c>
      <c r="C34" s="345">
        <f>C35+C36+C37</f>
        <v>3507</v>
      </c>
      <c r="D34" s="345">
        <f>D35+D36+D37</f>
        <v>8020</v>
      </c>
      <c r="E34" s="345"/>
      <c r="F34" s="345"/>
      <c r="G34" s="345"/>
      <c r="H34" s="345">
        <f>H35+H36+H37</f>
        <v>8020</v>
      </c>
      <c r="I34" s="345">
        <f>I35+I36+I37+I38</f>
        <v>6350433259</v>
      </c>
      <c r="J34" s="631">
        <f t="shared" si="0"/>
        <v>6350.4332590000004</v>
      </c>
      <c r="K34" s="634">
        <f t="shared" si="1"/>
        <v>0.79182459588528686</v>
      </c>
    </row>
    <row r="35" spans="1:11" s="275" customFormat="1" ht="28.5" customHeight="1" x14ac:dyDescent="0.3">
      <c r="A35" s="283" t="s">
        <v>319</v>
      </c>
      <c r="B35" s="334" t="s">
        <v>354</v>
      </c>
      <c r="C35" s="334">
        <v>3333</v>
      </c>
      <c r="D35" s="346">
        <v>3520</v>
      </c>
      <c r="E35" s="346"/>
      <c r="F35" s="346"/>
      <c r="G35" s="346"/>
      <c r="H35" s="346">
        <v>3520</v>
      </c>
      <c r="I35" s="296">
        <v>3027079550</v>
      </c>
      <c r="J35" s="632">
        <f t="shared" si="0"/>
        <v>3027.0795499999999</v>
      </c>
      <c r="K35" s="634">
        <f t="shared" si="1"/>
        <v>0.85996578125000001</v>
      </c>
    </row>
    <row r="36" spans="1:11" s="275" customFormat="1" ht="51" customHeight="1" x14ac:dyDescent="0.3">
      <c r="A36" s="283" t="s">
        <v>321</v>
      </c>
      <c r="B36" s="334" t="s">
        <v>357</v>
      </c>
      <c r="C36" s="334"/>
      <c r="D36" s="346">
        <v>1000</v>
      </c>
      <c r="E36" s="346"/>
      <c r="F36" s="346"/>
      <c r="G36" s="346"/>
      <c r="H36" s="346">
        <v>1000</v>
      </c>
      <c r="I36" s="346"/>
      <c r="J36" s="632">
        <f t="shared" si="0"/>
        <v>0</v>
      </c>
      <c r="K36" s="634">
        <f t="shared" si="1"/>
        <v>0</v>
      </c>
    </row>
    <row r="37" spans="1:11" s="275" customFormat="1" ht="16.5" customHeight="1" x14ac:dyDescent="0.3">
      <c r="A37" s="283" t="s">
        <v>323</v>
      </c>
      <c r="B37" s="334" t="s">
        <v>358</v>
      </c>
      <c r="C37" s="334">
        <v>174</v>
      </c>
      <c r="D37" s="346">
        <v>3500</v>
      </c>
      <c r="E37" s="346"/>
      <c r="F37" s="346"/>
      <c r="G37" s="346"/>
      <c r="H37" s="346">
        <v>3500</v>
      </c>
      <c r="I37" s="346"/>
      <c r="J37" s="632">
        <f t="shared" si="0"/>
        <v>0</v>
      </c>
      <c r="K37" s="634">
        <f t="shared" si="1"/>
        <v>0</v>
      </c>
    </row>
    <row r="38" spans="1:11" s="275" customFormat="1" ht="16.5" customHeight="1" x14ac:dyDescent="0.3">
      <c r="A38" s="283" t="s">
        <v>325</v>
      </c>
      <c r="B38" s="334" t="s">
        <v>654</v>
      </c>
      <c r="C38" s="334"/>
      <c r="D38" s="346"/>
      <c r="E38" s="346"/>
      <c r="F38" s="346"/>
      <c r="G38" s="346"/>
      <c r="H38" s="346"/>
      <c r="I38" s="346">
        <f>I31</f>
        <v>3323353709</v>
      </c>
      <c r="J38" s="632">
        <f t="shared" si="0"/>
        <v>3323.353709</v>
      </c>
      <c r="K38" s="634"/>
    </row>
    <row r="39" spans="1:11" s="275" customFormat="1" ht="16.5" customHeight="1" x14ac:dyDescent="0.3">
      <c r="A39" s="637">
        <v>2</v>
      </c>
      <c r="B39" s="333" t="s">
        <v>480</v>
      </c>
      <c r="C39" s="345">
        <f>C40+C49+C63+C66+C88+C89+C90+C91+C92+C93+C94+C95+C96+C97+C98+C99-1</f>
        <v>63208</v>
      </c>
      <c r="D39" s="345">
        <f>D40+D49+D63+D66+D88+D89+D90+D91+D92+D93+D94+D95+D96+D97+D98+D99-1</f>
        <v>196392.94673200001</v>
      </c>
      <c r="E39" s="345"/>
      <c r="F39" s="345"/>
      <c r="G39" s="345"/>
      <c r="H39" s="345">
        <f>H40+H49+H63+H66+H88+H89+H90+H91+H92+H93+H94+H95+H96+H97+H98+H99-1</f>
        <v>219536.80121199999</v>
      </c>
      <c r="I39" s="345">
        <f>I40+I49+I63+I66+I88+I89+I90+I91+I92+I93+I94+I95+I96+I97+I98+I99</f>
        <v>168022708587</v>
      </c>
      <c r="J39" s="631">
        <f t="shared" si="0"/>
        <v>168022.708587</v>
      </c>
      <c r="K39" s="634">
        <f t="shared" si="1"/>
        <v>0.76535099199493939</v>
      </c>
    </row>
    <row r="40" spans="1:11" ht="16.5" customHeight="1" x14ac:dyDescent="0.35">
      <c r="A40" s="313" t="s">
        <v>332</v>
      </c>
      <c r="B40" s="342" t="s">
        <v>481</v>
      </c>
      <c r="C40" s="347">
        <f>C41+C47</f>
        <v>0</v>
      </c>
      <c r="D40" s="348">
        <f>SUM(D42:D46)</f>
        <v>70415.537519999998</v>
      </c>
      <c r="E40" s="348"/>
      <c r="F40" s="348"/>
      <c r="G40" s="348"/>
      <c r="H40" s="348">
        <f>SUM(H42:H46)</f>
        <v>93559.391999999993</v>
      </c>
      <c r="I40" s="348">
        <f>SUM(I42:I46)</f>
        <v>84613027182</v>
      </c>
      <c r="J40" s="631">
        <f t="shared" si="0"/>
        <v>84613.027182000005</v>
      </c>
      <c r="K40" s="634">
        <f t="shared" si="1"/>
        <v>0.90437769392515943</v>
      </c>
    </row>
    <row r="41" spans="1:11" ht="16.5" customHeight="1" x14ac:dyDescent="0.35">
      <c r="A41" s="313" t="s">
        <v>482</v>
      </c>
      <c r="B41" s="342" t="s">
        <v>359</v>
      </c>
      <c r="C41" s="351"/>
      <c r="D41" s="348">
        <f>SUM(D42:D46)</f>
        <v>70415.537519999998</v>
      </c>
      <c r="E41" s="348"/>
      <c r="F41" s="348"/>
      <c r="G41" s="348"/>
      <c r="H41" s="348">
        <f>SUM(H42:H46)</f>
        <v>93559.391999999993</v>
      </c>
      <c r="I41" s="348">
        <f>SUM(I42:I46)</f>
        <v>84613027182</v>
      </c>
      <c r="J41" s="631">
        <f t="shared" si="0"/>
        <v>84613.027182000005</v>
      </c>
      <c r="K41" s="634">
        <f t="shared" si="1"/>
        <v>0.90437769392515943</v>
      </c>
    </row>
    <row r="42" spans="1:11" ht="16.5" customHeight="1" x14ac:dyDescent="0.35">
      <c r="A42" s="638"/>
      <c r="B42" s="353" t="s">
        <v>361</v>
      </c>
      <c r="C42" s="324">
        <v>46509</v>
      </c>
      <c r="D42" s="327">
        <f>'[1]Tong KH 2024'!E39</f>
        <v>49903.392</v>
      </c>
      <c r="E42" s="327"/>
      <c r="F42" s="327"/>
      <c r="G42" s="327"/>
      <c r="H42" s="327">
        <f>49903.392+17000</f>
        <v>66903.391999999993</v>
      </c>
      <c r="I42" s="621">
        <f>65807639957+866535564</f>
        <v>66674175521</v>
      </c>
      <c r="J42" s="632">
        <f t="shared" si="0"/>
        <v>66674.175520999997</v>
      </c>
      <c r="K42" s="634">
        <f t="shared" si="1"/>
        <v>0.99657391841956244</v>
      </c>
    </row>
    <row r="43" spans="1:11" ht="16.5" customHeight="1" x14ac:dyDescent="0.35">
      <c r="A43" s="638"/>
      <c r="B43" s="353" t="s">
        <v>362</v>
      </c>
      <c r="C43" s="324">
        <v>8305</v>
      </c>
      <c r="D43" s="327">
        <f>'[1]Tong KH 2024'!E40</f>
        <v>10756.14552</v>
      </c>
      <c r="E43" s="327"/>
      <c r="F43" s="327"/>
      <c r="G43" s="327"/>
      <c r="H43" s="327">
        <v>16900</v>
      </c>
      <c r="I43" s="621">
        <f>11246948794</f>
        <v>11246948794</v>
      </c>
      <c r="J43" s="632">
        <f t="shared" si="0"/>
        <v>11246.948794</v>
      </c>
      <c r="K43" s="634">
        <f t="shared" si="1"/>
        <v>0.66549992863905327</v>
      </c>
    </row>
    <row r="44" spans="1:11" ht="16.5" customHeight="1" x14ac:dyDescent="0.35">
      <c r="A44" s="638"/>
      <c r="B44" s="353" t="s">
        <v>363</v>
      </c>
      <c r="C44" s="324">
        <v>3409</v>
      </c>
      <c r="D44" s="327">
        <f>'[1]Tong KH 2024'!E41</f>
        <v>5256</v>
      </c>
      <c r="E44" s="327"/>
      <c r="F44" s="327"/>
      <c r="G44" s="327"/>
      <c r="H44" s="327">
        <v>5256</v>
      </c>
      <c r="I44" s="621">
        <f>3641574747</f>
        <v>3641574747</v>
      </c>
      <c r="J44" s="632">
        <f t="shared" si="0"/>
        <v>3641.5747470000001</v>
      </c>
      <c r="K44" s="634">
        <f t="shared" si="1"/>
        <v>0.69284146632420096</v>
      </c>
    </row>
    <row r="45" spans="1:11" ht="16.5" customHeight="1" x14ac:dyDescent="0.35">
      <c r="A45" s="638"/>
      <c r="B45" s="353" t="s">
        <v>483</v>
      </c>
      <c r="C45" s="324">
        <v>2145</v>
      </c>
      <c r="D45" s="327">
        <f>'[1]Tong KH 2024'!E42</f>
        <v>3000</v>
      </c>
      <c r="E45" s="327"/>
      <c r="F45" s="327"/>
      <c r="G45" s="327"/>
      <c r="H45" s="327">
        <v>3000</v>
      </c>
      <c r="I45" s="621">
        <f>2235000000</f>
        <v>2235000000</v>
      </c>
      <c r="J45" s="632">
        <f t="shared" si="0"/>
        <v>2235</v>
      </c>
      <c r="K45" s="634">
        <f t="shared" si="1"/>
        <v>0.745</v>
      </c>
    </row>
    <row r="46" spans="1:11" ht="16.5" customHeight="1" x14ac:dyDescent="0.35">
      <c r="A46" s="638"/>
      <c r="B46" s="302" t="s">
        <v>543</v>
      </c>
      <c r="C46" s="320">
        <v>343</v>
      </c>
      <c r="D46" s="356">
        <f>'[1]Tong KH 2024'!E46</f>
        <v>1500</v>
      </c>
      <c r="E46" s="356"/>
      <c r="F46" s="356"/>
      <c r="G46" s="356"/>
      <c r="H46" s="356">
        <v>1500</v>
      </c>
      <c r="I46" s="622">
        <f>815328120</f>
        <v>815328120</v>
      </c>
      <c r="J46" s="632">
        <f t="shared" si="0"/>
        <v>815.32812000000001</v>
      </c>
      <c r="K46" s="634">
        <f t="shared" si="1"/>
        <v>0.54355207999999999</v>
      </c>
    </row>
    <row r="47" spans="1:11" s="275" customFormat="1" ht="16.5" customHeight="1" x14ac:dyDescent="0.3">
      <c r="A47" s="313" t="s">
        <v>484</v>
      </c>
      <c r="B47" s="342" t="s">
        <v>485</v>
      </c>
      <c r="C47" s="351"/>
      <c r="D47" s="343">
        <f>D48</f>
        <v>0</v>
      </c>
      <c r="E47" s="343"/>
      <c r="F47" s="343"/>
      <c r="G47" s="343"/>
      <c r="H47" s="343">
        <v>0</v>
      </c>
      <c r="I47" s="343"/>
      <c r="J47" s="632">
        <f t="shared" si="0"/>
        <v>0</v>
      </c>
      <c r="K47" s="634"/>
    </row>
    <row r="48" spans="1:11" ht="27" hidden="1" customHeight="1" x14ac:dyDescent="0.35">
      <c r="A48" s="638"/>
      <c r="B48" s="353" t="s">
        <v>396</v>
      </c>
      <c r="C48" s="324"/>
      <c r="D48" s="358"/>
      <c r="E48" s="358"/>
      <c r="F48" s="358"/>
      <c r="G48" s="358"/>
      <c r="H48" s="358"/>
      <c r="I48" s="358"/>
      <c r="J48" s="632">
        <f t="shared" si="0"/>
        <v>0</v>
      </c>
      <c r="K48" s="634"/>
    </row>
    <row r="49" spans="1:11" ht="16.5" customHeight="1" x14ac:dyDescent="0.35">
      <c r="A49" s="313" t="s">
        <v>334</v>
      </c>
      <c r="B49" s="359" t="s">
        <v>486</v>
      </c>
      <c r="C49" s="348">
        <v>10540</v>
      </c>
      <c r="D49" s="348">
        <f>SUM(D50:D62)</f>
        <v>20000</v>
      </c>
      <c r="E49" s="348"/>
      <c r="F49" s="348"/>
      <c r="G49" s="348"/>
      <c r="H49" s="348">
        <f>SUM(H50:H62)</f>
        <v>23365.57</v>
      </c>
      <c r="I49" s="348">
        <f>SUM(I50:I62)</f>
        <v>14305848069</v>
      </c>
      <c r="J49" s="631">
        <f t="shared" si="0"/>
        <v>14305.848069</v>
      </c>
      <c r="K49" s="634">
        <f t="shared" si="1"/>
        <v>0.61226189085051208</v>
      </c>
    </row>
    <row r="50" spans="1:11" ht="30" customHeight="1" x14ac:dyDescent="0.35">
      <c r="A50" s="313"/>
      <c r="B50" s="303" t="s">
        <v>487</v>
      </c>
      <c r="C50" s="321"/>
      <c r="D50" s="304">
        <v>3000</v>
      </c>
      <c r="E50" s="304"/>
      <c r="F50" s="304"/>
      <c r="G50" s="304"/>
      <c r="H50" s="304">
        <v>3000</v>
      </c>
      <c r="I50" s="304">
        <v>2310918850</v>
      </c>
      <c r="J50" s="632">
        <f t="shared" si="0"/>
        <v>2310.91885</v>
      </c>
      <c r="K50" s="634">
        <f t="shared" si="1"/>
        <v>0.77030628333333329</v>
      </c>
    </row>
    <row r="51" spans="1:11" ht="29.25" customHeight="1" x14ac:dyDescent="0.35">
      <c r="A51" s="313"/>
      <c r="B51" s="303" t="s">
        <v>488</v>
      </c>
      <c r="C51" s="321"/>
      <c r="D51" s="304">
        <v>2000</v>
      </c>
      <c r="E51" s="304"/>
      <c r="F51" s="304"/>
      <c r="G51" s="304"/>
      <c r="H51" s="304">
        <v>2000</v>
      </c>
      <c r="I51" s="304">
        <v>1677356144</v>
      </c>
      <c r="J51" s="632">
        <f t="shared" si="0"/>
        <v>1677.3561440000001</v>
      </c>
      <c r="K51" s="634">
        <f t="shared" si="1"/>
        <v>0.838678072</v>
      </c>
    </row>
    <row r="52" spans="1:11" ht="16.5" customHeight="1" x14ac:dyDescent="0.35">
      <c r="A52" s="313"/>
      <c r="B52" s="303" t="s">
        <v>567</v>
      </c>
      <c r="C52" s="321"/>
      <c r="D52" s="304">
        <v>667</v>
      </c>
      <c r="E52" s="304"/>
      <c r="F52" s="304"/>
      <c r="G52" s="304"/>
      <c r="H52" s="304">
        <v>667</v>
      </c>
      <c r="I52" s="304">
        <v>96109080</v>
      </c>
      <c r="J52" s="632">
        <f t="shared" si="0"/>
        <v>96.109080000000006</v>
      </c>
      <c r="K52" s="634">
        <f t="shared" si="1"/>
        <v>0.14409157421289356</v>
      </c>
    </row>
    <row r="53" spans="1:11" ht="45" customHeight="1" x14ac:dyDescent="0.35">
      <c r="A53" s="313"/>
      <c r="B53" s="303" t="s">
        <v>489</v>
      </c>
      <c r="C53" s="321"/>
      <c r="D53" s="304">
        <v>1500</v>
      </c>
      <c r="E53" s="304"/>
      <c r="F53" s="304"/>
      <c r="G53" s="304"/>
      <c r="H53" s="354">
        <f>1500-166.43</f>
        <v>1333.57</v>
      </c>
      <c r="I53" s="304">
        <v>524444572</v>
      </c>
      <c r="J53" s="632">
        <f t="shared" si="0"/>
        <v>524.44457199999999</v>
      </c>
      <c r="K53" s="634">
        <f t="shared" si="1"/>
        <v>0.39326362470661458</v>
      </c>
    </row>
    <row r="54" spans="1:11" ht="36" customHeight="1" x14ac:dyDescent="0.35">
      <c r="A54" s="313"/>
      <c r="B54" s="303" t="s">
        <v>490</v>
      </c>
      <c r="C54" s="303"/>
      <c r="D54" s="304">
        <v>2500</v>
      </c>
      <c r="E54" s="304"/>
      <c r="F54" s="304"/>
      <c r="G54" s="304"/>
      <c r="H54" s="304">
        <v>2500</v>
      </c>
      <c r="I54" s="304"/>
      <c r="J54" s="632">
        <f t="shared" si="0"/>
        <v>0</v>
      </c>
      <c r="K54" s="634">
        <f t="shared" si="1"/>
        <v>0</v>
      </c>
    </row>
    <row r="55" spans="1:11" ht="31.5" customHeight="1" x14ac:dyDescent="0.35">
      <c r="A55" s="313"/>
      <c r="B55" s="303" t="s">
        <v>491</v>
      </c>
      <c r="C55" s="303"/>
      <c r="D55" s="304">
        <v>900</v>
      </c>
      <c r="E55" s="304"/>
      <c r="F55" s="304"/>
      <c r="G55" s="304"/>
      <c r="H55" s="304">
        <v>900</v>
      </c>
      <c r="I55" s="304">
        <v>1145708750</v>
      </c>
      <c r="J55" s="632">
        <f t="shared" si="0"/>
        <v>1145.70875</v>
      </c>
      <c r="K55" s="634">
        <f t="shared" si="1"/>
        <v>1.2730097222222223</v>
      </c>
    </row>
    <row r="56" spans="1:11" ht="34.5" customHeight="1" x14ac:dyDescent="0.35">
      <c r="A56" s="313"/>
      <c r="B56" s="303" t="s">
        <v>565</v>
      </c>
      <c r="C56" s="303"/>
      <c r="D56" s="304">
        <v>2000</v>
      </c>
      <c r="E56" s="304"/>
      <c r="F56" s="304"/>
      <c r="G56" s="304"/>
      <c r="H56" s="304">
        <v>2000</v>
      </c>
      <c r="I56" s="304">
        <v>1201527000</v>
      </c>
      <c r="J56" s="632">
        <f t="shared" si="0"/>
        <v>1201.527</v>
      </c>
      <c r="K56" s="634">
        <f t="shared" si="1"/>
        <v>0.60076350000000001</v>
      </c>
    </row>
    <row r="57" spans="1:11" ht="16.5" customHeight="1" x14ac:dyDescent="0.35">
      <c r="A57" s="313"/>
      <c r="B57" s="303" t="s">
        <v>492</v>
      </c>
      <c r="C57" s="303"/>
      <c r="D57" s="304">
        <v>2000</v>
      </c>
      <c r="E57" s="304"/>
      <c r="F57" s="304"/>
      <c r="G57" s="304"/>
      <c r="H57" s="304">
        <v>2000</v>
      </c>
      <c r="I57" s="304">
        <f>62143610+526414500</f>
        <v>588558110</v>
      </c>
      <c r="J57" s="632">
        <f t="shared" si="0"/>
        <v>588.55811000000006</v>
      </c>
      <c r="K57" s="634">
        <f t="shared" si="1"/>
        <v>0.29427905500000001</v>
      </c>
    </row>
    <row r="58" spans="1:11" ht="46.5" customHeight="1" x14ac:dyDescent="0.35">
      <c r="A58" s="313"/>
      <c r="B58" s="303" t="s">
        <v>493</v>
      </c>
      <c r="C58" s="303"/>
      <c r="D58" s="304">
        <v>1500</v>
      </c>
      <c r="E58" s="304"/>
      <c r="F58" s="304"/>
      <c r="G58" s="304"/>
      <c r="H58" s="304">
        <v>1500</v>
      </c>
      <c r="I58" s="304">
        <v>193870000</v>
      </c>
      <c r="J58" s="632">
        <f t="shared" si="0"/>
        <v>193.87</v>
      </c>
      <c r="K58" s="634">
        <f t="shared" si="1"/>
        <v>0.12924666666666668</v>
      </c>
    </row>
    <row r="59" spans="1:11" ht="35.25" customHeight="1" x14ac:dyDescent="0.35">
      <c r="A59" s="313"/>
      <c r="B59" s="303" t="s">
        <v>494</v>
      </c>
      <c r="C59" s="303"/>
      <c r="D59" s="304">
        <v>500</v>
      </c>
      <c r="E59" s="304"/>
      <c r="F59" s="304"/>
      <c r="G59" s="304"/>
      <c r="H59" s="304">
        <v>500</v>
      </c>
      <c r="I59" s="304">
        <v>888660000</v>
      </c>
      <c r="J59" s="632">
        <f t="shared" si="0"/>
        <v>888.66</v>
      </c>
      <c r="K59" s="634">
        <f t="shared" si="1"/>
        <v>1.77732</v>
      </c>
    </row>
    <row r="60" spans="1:11" ht="16.5" customHeight="1" x14ac:dyDescent="0.35">
      <c r="A60" s="313"/>
      <c r="B60" s="303" t="s">
        <v>495</v>
      </c>
      <c r="C60" s="303"/>
      <c r="D60" s="304">
        <v>2000</v>
      </c>
      <c r="E60" s="304"/>
      <c r="F60" s="304"/>
      <c r="G60" s="304"/>
      <c r="H60" s="304">
        <v>2000</v>
      </c>
      <c r="I60" s="304">
        <v>1510914000</v>
      </c>
      <c r="J60" s="632">
        <f t="shared" si="0"/>
        <v>1510.914</v>
      </c>
      <c r="K60" s="634">
        <f t="shared" si="1"/>
        <v>0.75545700000000005</v>
      </c>
    </row>
    <row r="61" spans="1:11" ht="16.5" customHeight="1" x14ac:dyDescent="0.35">
      <c r="A61" s="313"/>
      <c r="B61" s="303" t="s">
        <v>610</v>
      </c>
      <c r="C61" s="303"/>
      <c r="D61" s="304">
        <v>0</v>
      </c>
      <c r="E61" s="304"/>
      <c r="F61" s="304"/>
      <c r="G61" s="304"/>
      <c r="H61" s="304">
        <v>3532</v>
      </c>
      <c r="I61" s="304">
        <v>3445600000</v>
      </c>
      <c r="J61" s="632">
        <f t="shared" si="0"/>
        <v>3445.6</v>
      </c>
      <c r="K61" s="634">
        <f t="shared" si="1"/>
        <v>0.97553793884484707</v>
      </c>
    </row>
    <row r="62" spans="1:11" ht="16.5" customHeight="1" x14ac:dyDescent="0.35">
      <c r="A62" s="313"/>
      <c r="B62" s="303" t="s">
        <v>496</v>
      </c>
      <c r="C62" s="303"/>
      <c r="D62" s="304">
        <v>1433</v>
      </c>
      <c r="E62" s="304"/>
      <c r="F62" s="304"/>
      <c r="G62" s="304"/>
      <c r="H62" s="304">
        <v>1433</v>
      </c>
      <c r="I62" s="304">
        <f>6598007287-5875825724</f>
        <v>722181563</v>
      </c>
      <c r="J62" s="632">
        <f t="shared" si="0"/>
        <v>722.18156299999998</v>
      </c>
      <c r="K62" s="634">
        <f t="shared" si="1"/>
        <v>0.50396480321004888</v>
      </c>
    </row>
    <row r="63" spans="1:11" ht="16.5" customHeight="1" x14ac:dyDescent="0.35">
      <c r="A63" s="313" t="s">
        <v>365</v>
      </c>
      <c r="B63" s="359" t="s">
        <v>497</v>
      </c>
      <c r="C63" s="348">
        <f>SUM(C64:C65)+1</f>
        <v>8456</v>
      </c>
      <c r="D63" s="348">
        <f>SUM(D64:D65)+1</f>
        <v>18796.439999999999</v>
      </c>
      <c r="E63" s="348"/>
      <c r="F63" s="348"/>
      <c r="G63" s="348"/>
      <c r="H63" s="348">
        <f>SUM(H64:H65)+1</f>
        <v>18796.439999999999</v>
      </c>
      <c r="I63" s="348">
        <f>SUM(I64:I65)</f>
        <v>7737759938</v>
      </c>
      <c r="J63" s="631">
        <f t="shared" si="0"/>
        <v>7737.7599380000001</v>
      </c>
      <c r="K63" s="634">
        <f t="shared" si="1"/>
        <v>0.41166092823960287</v>
      </c>
    </row>
    <row r="64" spans="1:11" ht="30" customHeight="1" x14ac:dyDescent="0.35">
      <c r="A64" s="638"/>
      <c r="B64" s="360" t="s">
        <v>498</v>
      </c>
      <c r="C64" s="320">
        <v>958</v>
      </c>
      <c r="D64" s="327">
        <f>'[1]OK - TX (M4)'!J133+78</f>
        <v>5876.94</v>
      </c>
      <c r="E64" s="327"/>
      <c r="F64" s="327"/>
      <c r="G64" s="327"/>
      <c r="H64" s="327">
        <v>5876.94</v>
      </c>
      <c r="I64" s="621">
        <v>4643504644</v>
      </c>
      <c r="J64" s="632">
        <f t="shared" si="0"/>
        <v>4643.5046439999996</v>
      </c>
      <c r="K64" s="634">
        <f t="shared" si="1"/>
        <v>0.79012286053626546</v>
      </c>
    </row>
    <row r="65" spans="1:11" ht="16.5" customHeight="1" x14ac:dyDescent="0.35">
      <c r="A65" s="638"/>
      <c r="B65" s="360" t="s">
        <v>499</v>
      </c>
      <c r="C65" s="320">
        <v>7497</v>
      </c>
      <c r="D65" s="327">
        <f>'[1]OK - SC (M9)'!G74</f>
        <v>12918.5</v>
      </c>
      <c r="E65" s="327"/>
      <c r="F65" s="327"/>
      <c r="G65" s="327"/>
      <c r="H65" s="327">
        <v>12918.5</v>
      </c>
      <c r="I65" s="621">
        <f>3094255294</f>
        <v>3094255294</v>
      </c>
      <c r="J65" s="632">
        <f t="shared" si="0"/>
        <v>3094.255294</v>
      </c>
      <c r="K65" s="634">
        <f t="shared" si="1"/>
        <v>0.23952125200294153</v>
      </c>
    </row>
    <row r="66" spans="1:11" ht="16.5" customHeight="1" x14ac:dyDescent="0.35">
      <c r="A66" s="313" t="s">
        <v>336</v>
      </c>
      <c r="B66" s="359" t="s">
        <v>500</v>
      </c>
      <c r="C66" s="348">
        <v>6798</v>
      </c>
      <c r="D66" s="348">
        <f>SUM(D67:D87)-D74-D76-D79</f>
        <v>25375</v>
      </c>
      <c r="E66" s="348"/>
      <c r="F66" s="348"/>
      <c r="G66" s="348"/>
      <c r="H66" s="348">
        <f>SUM(H67:H87)-H74-H76-H79</f>
        <v>22009.43</v>
      </c>
      <c r="I66" s="348">
        <f>SUM(I67:I87)</f>
        <v>13959093369</v>
      </c>
      <c r="J66" s="631">
        <f t="shared" si="0"/>
        <v>13959.093369</v>
      </c>
      <c r="K66" s="634">
        <f t="shared" si="1"/>
        <v>0.63423238898054157</v>
      </c>
    </row>
    <row r="67" spans="1:11" ht="16.5" customHeight="1" x14ac:dyDescent="0.35">
      <c r="A67" s="638"/>
      <c r="B67" s="360" t="s">
        <v>501</v>
      </c>
      <c r="C67" s="320"/>
      <c r="D67" s="327">
        <f>'[1]OK - Dien nuoc (M7)'!E8</f>
        <v>4400</v>
      </c>
      <c r="E67" s="327"/>
      <c r="F67" s="327"/>
      <c r="G67" s="327"/>
      <c r="H67" s="327">
        <v>4400</v>
      </c>
      <c r="I67" s="327">
        <v>4433273430</v>
      </c>
      <c r="J67" s="632">
        <f t="shared" si="0"/>
        <v>4433.2734300000002</v>
      </c>
      <c r="K67" s="634">
        <f t="shared" si="1"/>
        <v>1.0075621431818182</v>
      </c>
    </row>
    <row r="68" spans="1:11" ht="16.5" customHeight="1" x14ac:dyDescent="0.35">
      <c r="A68" s="638"/>
      <c r="B68" s="360" t="s">
        <v>502</v>
      </c>
      <c r="C68" s="320"/>
      <c r="D68" s="327">
        <f>'[1]OK - Dien nuoc (M7)'!E43</f>
        <v>400</v>
      </c>
      <c r="E68" s="327"/>
      <c r="F68" s="327"/>
      <c r="G68" s="327"/>
      <c r="H68" s="327">
        <v>400</v>
      </c>
      <c r="I68" s="327">
        <v>115496352</v>
      </c>
      <c r="J68" s="632">
        <f t="shared" si="0"/>
        <v>115.496352</v>
      </c>
      <c r="K68" s="634">
        <f t="shared" si="1"/>
        <v>0.28874087999999998</v>
      </c>
    </row>
    <row r="69" spans="1:11" ht="16.5" customHeight="1" x14ac:dyDescent="0.35">
      <c r="A69" s="638"/>
      <c r="B69" s="360" t="s">
        <v>503</v>
      </c>
      <c r="C69" s="320"/>
      <c r="D69" s="327">
        <f>'[1]OK - Dien nuoc (M7)'!E45+'[1]OK - Dien nuoc (M7)'!E46</f>
        <v>600</v>
      </c>
      <c r="E69" s="327"/>
      <c r="F69" s="327"/>
      <c r="G69" s="327"/>
      <c r="H69" s="327">
        <v>600</v>
      </c>
      <c r="I69" s="327">
        <v>123428000</v>
      </c>
      <c r="J69" s="632">
        <f t="shared" si="0"/>
        <v>123.428</v>
      </c>
      <c r="K69" s="634">
        <f t="shared" si="1"/>
        <v>0.20571333333333333</v>
      </c>
    </row>
    <row r="70" spans="1:11" ht="16.5" customHeight="1" x14ac:dyDescent="0.35">
      <c r="A70" s="638"/>
      <c r="B70" s="360" t="s">
        <v>504</v>
      </c>
      <c r="C70" s="320"/>
      <c r="D70" s="327">
        <f>'[1]OK - Dien nuoc (M7)'!E11</f>
        <v>5370</v>
      </c>
      <c r="E70" s="327"/>
      <c r="F70" s="327"/>
      <c r="G70" s="327"/>
      <c r="H70" s="327">
        <v>5370</v>
      </c>
      <c r="I70" s="327">
        <v>697346000</v>
      </c>
      <c r="J70" s="632">
        <f t="shared" si="0"/>
        <v>697.346</v>
      </c>
      <c r="K70" s="634">
        <f t="shared" si="1"/>
        <v>0.12985959031657357</v>
      </c>
    </row>
    <row r="71" spans="1:11" ht="16.5" customHeight="1" x14ac:dyDescent="0.35">
      <c r="A71" s="638"/>
      <c r="B71" s="360" t="s">
        <v>505</v>
      </c>
      <c r="C71" s="320"/>
      <c r="D71" s="327">
        <f>'[1]OK - Dien nuoc (M7)'!E21</f>
        <v>1850</v>
      </c>
      <c r="E71" s="327"/>
      <c r="F71" s="327"/>
      <c r="G71" s="327"/>
      <c r="H71" s="327">
        <v>1850</v>
      </c>
      <c r="I71" s="327">
        <f>742169230</f>
        <v>742169230</v>
      </c>
      <c r="J71" s="632">
        <f t="shared" si="0"/>
        <v>742.16922999999997</v>
      </c>
      <c r="K71" s="634">
        <f t="shared" si="1"/>
        <v>0.40117255675675673</v>
      </c>
    </row>
    <row r="72" spans="1:11" ht="16.5" customHeight="1" x14ac:dyDescent="0.35">
      <c r="A72" s="638"/>
      <c r="B72" s="309" t="s">
        <v>506</v>
      </c>
      <c r="C72" s="361"/>
      <c r="D72" s="327">
        <f>'[1]OK - Dien nuoc (M7)'!E26</f>
        <v>2500</v>
      </c>
      <c r="E72" s="327"/>
      <c r="F72" s="327"/>
      <c r="G72" s="327"/>
      <c r="H72" s="620">
        <f>2500-2445.57</f>
        <v>54.429999999999836</v>
      </c>
      <c r="I72" s="327">
        <v>4320000</v>
      </c>
      <c r="J72" s="632">
        <f t="shared" ref="J72:J135" si="2">I72/1000000</f>
        <v>4.32</v>
      </c>
      <c r="K72" s="634">
        <f t="shared" ref="K72:K135" si="3">J72/H72</f>
        <v>7.9367995590667151E-2</v>
      </c>
    </row>
    <row r="73" spans="1:11" s="275" customFormat="1" ht="16.5" customHeight="1" x14ac:dyDescent="0.3">
      <c r="A73" s="638"/>
      <c r="B73" s="310" t="s">
        <v>507</v>
      </c>
      <c r="C73" s="362"/>
      <c r="D73" s="327">
        <v>1940</v>
      </c>
      <c r="E73" s="327"/>
      <c r="F73" s="327"/>
      <c r="G73" s="327"/>
      <c r="H73" s="327">
        <v>1940</v>
      </c>
      <c r="I73" s="327">
        <v>1274606212</v>
      </c>
      <c r="J73" s="632">
        <f t="shared" si="2"/>
        <v>1274.6062119999999</v>
      </c>
      <c r="K73" s="634">
        <f t="shared" si="3"/>
        <v>0.65701351134020614</v>
      </c>
    </row>
    <row r="74" spans="1:11" ht="16.5" customHeight="1" x14ac:dyDescent="0.35">
      <c r="A74" s="638"/>
      <c r="B74" s="310" t="s">
        <v>509</v>
      </c>
      <c r="C74" s="362"/>
      <c r="D74" s="327">
        <v>1120</v>
      </c>
      <c r="E74" s="327"/>
      <c r="F74" s="327"/>
      <c r="G74" s="327"/>
      <c r="H74" s="327">
        <v>1120</v>
      </c>
      <c r="I74" s="327"/>
      <c r="J74" s="632">
        <f t="shared" si="2"/>
        <v>0</v>
      </c>
      <c r="K74" s="634">
        <f t="shared" si="3"/>
        <v>0</v>
      </c>
    </row>
    <row r="75" spans="1:11" ht="16.5" customHeight="1" x14ac:dyDescent="0.35">
      <c r="A75" s="638"/>
      <c r="B75" s="310" t="s">
        <v>511</v>
      </c>
      <c r="C75" s="362"/>
      <c r="D75" s="327">
        <v>1600</v>
      </c>
      <c r="E75" s="327"/>
      <c r="F75" s="327"/>
      <c r="G75" s="327"/>
      <c r="H75" s="327">
        <v>1600</v>
      </c>
      <c r="I75" s="621">
        <v>1237053600</v>
      </c>
      <c r="J75" s="632">
        <f t="shared" si="2"/>
        <v>1237.0536</v>
      </c>
      <c r="K75" s="634">
        <f t="shared" si="3"/>
        <v>0.77315849999999997</v>
      </c>
    </row>
    <row r="76" spans="1:11" s="278" customFormat="1" ht="16.5" customHeight="1" x14ac:dyDescent="0.3">
      <c r="A76" s="638"/>
      <c r="B76" s="310" t="s">
        <v>511</v>
      </c>
      <c r="C76" s="362"/>
      <c r="D76" s="327">
        <v>860</v>
      </c>
      <c r="E76" s="327"/>
      <c r="F76" s="327"/>
      <c r="G76" s="327"/>
      <c r="H76" s="327">
        <v>860</v>
      </c>
      <c r="I76" s="327"/>
      <c r="J76" s="632">
        <f t="shared" si="2"/>
        <v>0</v>
      </c>
      <c r="K76" s="634">
        <f t="shared" si="3"/>
        <v>0</v>
      </c>
    </row>
    <row r="77" spans="1:11" ht="16.5" customHeight="1" x14ac:dyDescent="0.35">
      <c r="A77" s="638"/>
      <c r="B77" s="310" t="s">
        <v>514</v>
      </c>
      <c r="C77" s="362"/>
      <c r="D77" s="327">
        <v>550</v>
      </c>
      <c r="E77" s="327"/>
      <c r="F77" s="327"/>
      <c r="G77" s="327"/>
      <c r="H77" s="327">
        <v>550</v>
      </c>
      <c r="I77" s="327">
        <v>1752581082</v>
      </c>
      <c r="J77" s="632">
        <f t="shared" si="2"/>
        <v>1752.5810819999999</v>
      </c>
      <c r="K77" s="634">
        <f t="shared" si="3"/>
        <v>3.1865110581818179</v>
      </c>
    </row>
    <row r="78" spans="1:11" ht="16.5" customHeight="1" x14ac:dyDescent="0.35">
      <c r="A78" s="638"/>
      <c r="B78" s="310" t="s">
        <v>515</v>
      </c>
      <c r="C78" s="362"/>
      <c r="D78" s="327">
        <f>'[1]OK - Dien nuoc (M7)'!E29+'[1]OK - Dien nuoc (M7)'!E30</f>
        <v>1450</v>
      </c>
      <c r="E78" s="327"/>
      <c r="F78" s="327"/>
      <c r="G78" s="327"/>
      <c r="H78" s="327">
        <v>1450</v>
      </c>
      <c r="I78" s="327">
        <v>1313074501</v>
      </c>
      <c r="J78" s="632">
        <f t="shared" si="2"/>
        <v>1313.0745010000001</v>
      </c>
      <c r="K78" s="634">
        <f t="shared" si="3"/>
        <v>0.90556862137931038</v>
      </c>
    </row>
    <row r="79" spans="1:11" ht="16.5" customHeight="1" x14ac:dyDescent="0.35">
      <c r="A79" s="638"/>
      <c r="B79" s="310" t="s">
        <v>515</v>
      </c>
      <c r="C79" s="362"/>
      <c r="D79" s="327">
        <f>'[1]OK - Dien nuoc (M7)'!E28</f>
        <v>1300</v>
      </c>
      <c r="E79" s="327"/>
      <c r="F79" s="327"/>
      <c r="G79" s="327"/>
      <c r="H79" s="327">
        <v>1300</v>
      </c>
      <c r="I79" s="327"/>
      <c r="J79" s="632">
        <f t="shared" si="2"/>
        <v>0</v>
      </c>
      <c r="K79" s="634">
        <f t="shared" si="3"/>
        <v>0</v>
      </c>
    </row>
    <row r="80" spans="1:11" ht="16.5" customHeight="1" x14ac:dyDescent="0.35">
      <c r="A80" s="638"/>
      <c r="B80" s="310" t="s">
        <v>552</v>
      </c>
      <c r="C80" s="362"/>
      <c r="D80" s="327">
        <v>300</v>
      </c>
      <c r="E80" s="327"/>
      <c r="F80" s="327"/>
      <c r="G80" s="327"/>
      <c r="H80" s="327">
        <v>300</v>
      </c>
      <c r="I80" s="327">
        <v>7560000</v>
      </c>
      <c r="J80" s="632">
        <f t="shared" si="2"/>
        <v>7.56</v>
      </c>
      <c r="K80" s="634">
        <f t="shared" si="3"/>
        <v>2.52E-2</v>
      </c>
    </row>
    <row r="81" spans="1:11" ht="32.25" customHeight="1" x14ac:dyDescent="0.35">
      <c r="A81" s="638"/>
      <c r="B81" s="310" t="s">
        <v>554</v>
      </c>
      <c r="C81" s="362"/>
      <c r="D81" s="327">
        <v>300</v>
      </c>
      <c r="E81" s="327"/>
      <c r="F81" s="327"/>
      <c r="G81" s="327"/>
      <c r="H81" s="327">
        <v>300</v>
      </c>
      <c r="I81" s="327"/>
      <c r="J81" s="632">
        <f t="shared" si="2"/>
        <v>0</v>
      </c>
      <c r="K81" s="634">
        <f t="shared" si="3"/>
        <v>0</v>
      </c>
    </row>
    <row r="82" spans="1:11" ht="16.5" customHeight="1" x14ac:dyDescent="0.35">
      <c r="A82" s="638"/>
      <c r="B82" s="310" t="s">
        <v>516</v>
      </c>
      <c r="C82" s="362"/>
      <c r="D82" s="327">
        <f>'[1]OK - Dien nuoc (M7)'!E37</f>
        <v>100</v>
      </c>
      <c r="E82" s="327"/>
      <c r="F82" s="327"/>
      <c r="G82" s="327"/>
      <c r="H82" s="327">
        <v>100</v>
      </c>
      <c r="I82" s="327">
        <f>44200000+15800000</f>
        <v>60000000</v>
      </c>
      <c r="J82" s="632">
        <f t="shared" si="2"/>
        <v>60</v>
      </c>
      <c r="K82" s="634">
        <f t="shared" si="3"/>
        <v>0.6</v>
      </c>
    </row>
    <row r="83" spans="1:11" ht="16.5" customHeight="1" x14ac:dyDescent="0.35">
      <c r="A83" s="638"/>
      <c r="B83" s="311" t="s">
        <v>517</v>
      </c>
      <c r="C83" s="365"/>
      <c r="D83" s="327">
        <f>'[1]OK - Dien nuoc (M7)'!E31</f>
        <v>2000</v>
      </c>
      <c r="E83" s="327"/>
      <c r="F83" s="327"/>
      <c r="G83" s="327"/>
      <c r="H83" s="327">
        <v>2000</v>
      </c>
      <c r="I83" s="327">
        <v>2000000000</v>
      </c>
      <c r="J83" s="632">
        <f t="shared" si="2"/>
        <v>2000</v>
      </c>
      <c r="K83" s="634">
        <f t="shared" si="3"/>
        <v>1</v>
      </c>
    </row>
    <row r="84" spans="1:11" ht="16.5" customHeight="1" x14ac:dyDescent="0.35">
      <c r="A84" s="638"/>
      <c r="B84" s="311" t="s">
        <v>518</v>
      </c>
      <c r="C84" s="365"/>
      <c r="D84" s="327">
        <f>'[1]OK - Dien nuoc (M7)'!E32</f>
        <v>250</v>
      </c>
      <c r="E84" s="327"/>
      <c r="F84" s="327"/>
      <c r="G84" s="327"/>
      <c r="H84" s="327">
        <v>250</v>
      </c>
      <c r="I84" s="327">
        <v>134040000</v>
      </c>
      <c r="J84" s="632">
        <f t="shared" si="2"/>
        <v>134.04</v>
      </c>
      <c r="K84" s="634">
        <f t="shared" si="3"/>
        <v>0.53615999999999997</v>
      </c>
    </row>
    <row r="85" spans="1:11" ht="16.5" customHeight="1" x14ac:dyDescent="0.35">
      <c r="A85" s="638"/>
      <c r="B85" s="311" t="s">
        <v>519</v>
      </c>
      <c r="C85" s="365"/>
      <c r="D85" s="327">
        <f>'[1]OK - Dien nuoc (M7)'!E44</f>
        <v>45</v>
      </c>
      <c r="E85" s="327"/>
      <c r="F85" s="327"/>
      <c r="G85" s="327"/>
      <c r="H85" s="327">
        <v>45</v>
      </c>
      <c r="I85" s="327">
        <v>64144962</v>
      </c>
      <c r="J85" s="632">
        <f t="shared" si="2"/>
        <v>64.144962000000007</v>
      </c>
      <c r="K85" s="634">
        <f t="shared" si="3"/>
        <v>1.4254436000000001</v>
      </c>
    </row>
    <row r="86" spans="1:11" ht="16.5" customHeight="1" x14ac:dyDescent="0.35">
      <c r="A86" s="638"/>
      <c r="B86" s="311" t="s">
        <v>520</v>
      </c>
      <c r="C86" s="365"/>
      <c r="D86" s="327">
        <f>'[1]OK - Dien nuoc (M7)'!E33+'[1]OK - Dien nuoc (M7)'!E34+'[1]OK - Dien nuoc (M7)'!E35</f>
        <v>920</v>
      </c>
      <c r="E86" s="327"/>
      <c r="F86" s="327"/>
      <c r="G86" s="327"/>
      <c r="H86" s="327">
        <v>0</v>
      </c>
      <c r="I86" s="327">
        <v>0</v>
      </c>
      <c r="J86" s="632">
        <f t="shared" si="2"/>
        <v>0</v>
      </c>
      <c r="K86" s="634"/>
    </row>
    <row r="87" spans="1:11" ht="16.5" customHeight="1" x14ac:dyDescent="0.35">
      <c r="A87" s="638"/>
      <c r="B87" s="312" t="s">
        <v>521</v>
      </c>
      <c r="C87" s="366"/>
      <c r="D87" s="327">
        <v>800</v>
      </c>
      <c r="E87" s="327"/>
      <c r="F87" s="327"/>
      <c r="G87" s="327"/>
      <c r="H87" s="327">
        <v>800</v>
      </c>
      <c r="I87" s="327"/>
      <c r="J87" s="632">
        <f t="shared" si="2"/>
        <v>0</v>
      </c>
      <c r="K87" s="634">
        <f t="shared" si="3"/>
        <v>0</v>
      </c>
    </row>
    <row r="88" spans="1:11" ht="16.5" customHeight="1" x14ac:dyDescent="0.35">
      <c r="A88" s="313" t="s">
        <v>338</v>
      </c>
      <c r="B88" s="367" t="s">
        <v>524</v>
      </c>
      <c r="C88" s="368">
        <v>2793</v>
      </c>
      <c r="D88" s="348">
        <v>3196</v>
      </c>
      <c r="E88" s="348"/>
      <c r="F88" s="348"/>
      <c r="G88" s="348"/>
      <c r="H88" s="348">
        <v>3196</v>
      </c>
      <c r="I88" s="623">
        <f>1913677917</f>
        <v>1913677917</v>
      </c>
      <c r="J88" s="631">
        <f t="shared" si="2"/>
        <v>1913.677917</v>
      </c>
      <c r="K88" s="634">
        <f t="shared" si="3"/>
        <v>0.59877281508135172</v>
      </c>
    </row>
    <row r="89" spans="1:11" ht="16.5" customHeight="1" x14ac:dyDescent="0.35">
      <c r="A89" s="313" t="s">
        <v>369</v>
      </c>
      <c r="B89" s="367" t="s">
        <v>525</v>
      </c>
      <c r="C89" s="368">
        <v>7605</v>
      </c>
      <c r="D89" s="348">
        <f>'[1]CS2 '!F14</f>
        <v>8347</v>
      </c>
      <c r="E89" s="348"/>
      <c r="F89" s="348"/>
      <c r="G89" s="348"/>
      <c r="H89" s="348">
        <v>8347</v>
      </c>
      <c r="I89" s="623">
        <v>8238170323</v>
      </c>
      <c r="J89" s="631">
        <f t="shared" si="2"/>
        <v>8238.1703230000003</v>
      </c>
      <c r="K89" s="634">
        <f t="shared" si="3"/>
        <v>0.98696182137294841</v>
      </c>
    </row>
    <row r="90" spans="1:11" ht="16.5" customHeight="1" x14ac:dyDescent="0.35">
      <c r="A90" s="313" t="s">
        <v>371</v>
      </c>
      <c r="B90" s="369" t="s">
        <v>386</v>
      </c>
      <c r="C90" s="370">
        <v>195</v>
      </c>
      <c r="D90" s="348">
        <f>'[1]Tong KH 2024'!E61</f>
        <v>250</v>
      </c>
      <c r="E90" s="348"/>
      <c r="F90" s="348"/>
      <c r="G90" s="348"/>
      <c r="H90" s="348">
        <v>250</v>
      </c>
      <c r="I90" s="623">
        <v>228898920</v>
      </c>
      <c r="J90" s="631">
        <f t="shared" si="2"/>
        <v>228.89892</v>
      </c>
      <c r="K90" s="634">
        <f t="shared" si="3"/>
        <v>0.91559568000000002</v>
      </c>
    </row>
    <row r="91" spans="1:11" ht="16.5" customHeight="1" x14ac:dyDescent="0.35">
      <c r="A91" s="313" t="s">
        <v>372</v>
      </c>
      <c r="B91" s="342" t="s">
        <v>526</v>
      </c>
      <c r="C91" s="351">
        <v>300</v>
      </c>
      <c r="D91" s="348">
        <v>450</v>
      </c>
      <c r="E91" s="348"/>
      <c r="F91" s="348"/>
      <c r="G91" s="348"/>
      <c r="H91" s="348">
        <v>450</v>
      </c>
      <c r="I91" s="623">
        <f>450000000</f>
        <v>450000000</v>
      </c>
      <c r="J91" s="631">
        <f t="shared" si="2"/>
        <v>450</v>
      </c>
      <c r="K91" s="634">
        <f t="shared" si="3"/>
        <v>1</v>
      </c>
    </row>
    <row r="92" spans="1:11" ht="16.5" customHeight="1" x14ac:dyDescent="0.35">
      <c r="A92" s="313" t="s">
        <v>374</v>
      </c>
      <c r="B92" s="342" t="s">
        <v>563</v>
      </c>
      <c r="C92" s="371"/>
      <c r="D92" s="348">
        <f>D42*0.6%+1+500</f>
        <v>800.42035199999998</v>
      </c>
      <c r="E92" s="348"/>
      <c r="F92" s="348"/>
      <c r="G92" s="348"/>
      <c r="H92" s="348">
        <v>800.42035199999998</v>
      </c>
      <c r="I92" s="623">
        <v>800000000</v>
      </c>
      <c r="J92" s="631">
        <f t="shared" si="2"/>
        <v>800</v>
      </c>
      <c r="K92" s="634">
        <f t="shared" si="3"/>
        <v>0.99947483594220254</v>
      </c>
    </row>
    <row r="93" spans="1:11" ht="16.5" customHeight="1" x14ac:dyDescent="0.35">
      <c r="A93" s="313" t="s">
        <v>376</v>
      </c>
      <c r="B93" s="342" t="s">
        <v>529</v>
      </c>
      <c r="C93" s="351">
        <v>469</v>
      </c>
      <c r="D93" s="348">
        <v>1300</v>
      </c>
      <c r="E93" s="348"/>
      <c r="F93" s="348"/>
      <c r="G93" s="348"/>
      <c r="H93" s="348">
        <v>1300</v>
      </c>
      <c r="I93" s="348">
        <v>720982759</v>
      </c>
      <c r="J93" s="631">
        <f t="shared" si="2"/>
        <v>720.98275899999999</v>
      </c>
      <c r="K93" s="634">
        <f t="shared" si="3"/>
        <v>0.55460212230769235</v>
      </c>
    </row>
    <row r="94" spans="1:11" ht="16.5" customHeight="1" x14ac:dyDescent="0.35">
      <c r="A94" s="313" t="s">
        <v>528</v>
      </c>
      <c r="B94" s="367" t="s">
        <v>531</v>
      </c>
      <c r="C94" s="368">
        <v>1119</v>
      </c>
      <c r="D94" s="348">
        <v>3013</v>
      </c>
      <c r="E94" s="348"/>
      <c r="F94" s="348"/>
      <c r="G94" s="348"/>
      <c r="H94" s="348">
        <v>3013</v>
      </c>
      <c r="I94" s="348">
        <f>1602356612</f>
        <v>1602356612</v>
      </c>
      <c r="J94" s="631">
        <f t="shared" si="2"/>
        <v>1602.356612</v>
      </c>
      <c r="K94" s="634">
        <f t="shared" si="3"/>
        <v>0.53181434185197474</v>
      </c>
    </row>
    <row r="95" spans="1:11" ht="16.5" customHeight="1" x14ac:dyDescent="0.35">
      <c r="A95" s="313" t="s">
        <v>530</v>
      </c>
      <c r="B95" s="367" t="s">
        <v>382</v>
      </c>
      <c r="C95" s="368">
        <v>7742</v>
      </c>
      <c r="D95" s="348">
        <v>7500</v>
      </c>
      <c r="E95" s="348"/>
      <c r="F95" s="348"/>
      <c r="G95" s="348"/>
      <c r="H95" s="348">
        <v>7500</v>
      </c>
      <c r="I95" s="628">
        <v>9933288754</v>
      </c>
      <c r="J95" s="631">
        <f t="shared" si="2"/>
        <v>9933.2887539999992</v>
      </c>
      <c r="K95" s="634">
        <f t="shared" si="3"/>
        <v>1.3244385005333332</v>
      </c>
    </row>
    <row r="96" spans="1:11" ht="16.5" customHeight="1" x14ac:dyDescent="0.35">
      <c r="A96" s="313" t="s">
        <v>532</v>
      </c>
      <c r="B96" s="367" t="s">
        <v>534</v>
      </c>
      <c r="C96" s="368">
        <v>17192</v>
      </c>
      <c r="D96" s="348">
        <f>'[1]Tong KH 2024 (2)'!E60</f>
        <v>18000</v>
      </c>
      <c r="E96" s="348"/>
      <c r="F96" s="348"/>
      <c r="G96" s="348"/>
      <c r="H96" s="348">
        <v>18000</v>
      </c>
      <c r="I96" s="623">
        <f>2988987173+11960715305+668733071-I38</f>
        <v>12295081840</v>
      </c>
      <c r="J96" s="631">
        <f t="shared" si="2"/>
        <v>12295.081840000001</v>
      </c>
      <c r="K96" s="634">
        <f t="shared" si="3"/>
        <v>0.68306010222222224</v>
      </c>
    </row>
    <row r="97" spans="1:11" ht="33.75" customHeight="1" x14ac:dyDescent="0.35">
      <c r="A97" s="313" t="s">
        <v>533</v>
      </c>
      <c r="B97" s="367" t="s">
        <v>536</v>
      </c>
      <c r="C97" s="368"/>
      <c r="D97" s="348">
        <f>1437+200</f>
        <v>1637</v>
      </c>
      <c r="E97" s="348"/>
      <c r="F97" s="348"/>
      <c r="G97" s="348"/>
      <c r="H97" s="348">
        <v>1637</v>
      </c>
      <c r="I97" s="327">
        <f>3025229346-I83</f>
        <v>1025229346</v>
      </c>
      <c r="J97" s="631">
        <f t="shared" si="2"/>
        <v>1025.2293460000001</v>
      </c>
      <c r="K97" s="634">
        <f t="shared" si="3"/>
        <v>0.62628548930971295</v>
      </c>
    </row>
    <row r="98" spans="1:11" ht="16.5" customHeight="1" x14ac:dyDescent="0.35">
      <c r="A98" s="313" t="s">
        <v>535</v>
      </c>
      <c r="B98" s="367" t="s">
        <v>538</v>
      </c>
      <c r="C98" s="368"/>
      <c r="D98" s="348">
        <v>640</v>
      </c>
      <c r="E98" s="348"/>
      <c r="F98" s="348"/>
      <c r="G98" s="348"/>
      <c r="H98" s="348">
        <v>640</v>
      </c>
      <c r="I98" s="348">
        <v>640000000</v>
      </c>
      <c r="J98" s="631">
        <f t="shared" si="2"/>
        <v>640</v>
      </c>
      <c r="K98" s="634">
        <f t="shared" si="3"/>
        <v>1</v>
      </c>
    </row>
    <row r="99" spans="1:11" ht="16.5" customHeight="1" x14ac:dyDescent="0.35">
      <c r="A99" s="313" t="s">
        <v>537</v>
      </c>
      <c r="B99" s="367" t="s">
        <v>539</v>
      </c>
      <c r="C99" s="368"/>
      <c r="D99" s="348">
        <f>D100+D101</f>
        <v>16673.548859999999</v>
      </c>
      <c r="E99" s="348"/>
      <c r="F99" s="348"/>
      <c r="G99" s="348"/>
      <c r="H99" s="348">
        <v>16673.548859999999</v>
      </c>
      <c r="I99" s="348">
        <f>SUM(I100:I101)</f>
        <v>9559293558</v>
      </c>
      <c r="J99" s="631">
        <f t="shared" si="2"/>
        <v>9559.2935579999994</v>
      </c>
      <c r="K99" s="634">
        <f t="shared" si="3"/>
        <v>0.57332087117535213</v>
      </c>
    </row>
    <row r="100" spans="1:11" ht="16.5" customHeight="1" x14ac:dyDescent="0.35">
      <c r="A100" s="638"/>
      <c r="B100" s="363" t="s">
        <v>379</v>
      </c>
      <c r="C100" s="372"/>
      <c r="D100" s="327">
        <v>16587.548859999999</v>
      </c>
      <c r="E100" s="327"/>
      <c r="F100" s="327"/>
      <c r="G100" s="327"/>
      <c r="H100" s="327">
        <v>16587.548859999999</v>
      </c>
      <c r="I100" s="629">
        <f>9413164581+6270095+69329298</f>
        <v>9488763974</v>
      </c>
      <c r="J100" s="632">
        <f t="shared" si="2"/>
        <v>9488.7639739999995</v>
      </c>
      <c r="K100" s="634">
        <f t="shared" si="3"/>
        <v>0.5720413578935496</v>
      </c>
    </row>
    <row r="101" spans="1:11" s="275" customFormat="1" ht="16.5" customHeight="1" x14ac:dyDescent="0.3">
      <c r="A101" s="639"/>
      <c r="B101" s="374" t="s">
        <v>342</v>
      </c>
      <c r="C101" s="375"/>
      <c r="D101" s="376">
        <v>86</v>
      </c>
      <c r="E101" s="376"/>
      <c r="F101" s="376"/>
      <c r="G101" s="376"/>
      <c r="H101" s="376">
        <v>86</v>
      </c>
      <c r="I101" s="630">
        <f>69991000+517500+21084</f>
        <v>70529584</v>
      </c>
      <c r="J101" s="633">
        <f t="shared" si="2"/>
        <v>70.529584</v>
      </c>
      <c r="K101" s="645">
        <f t="shared" si="3"/>
        <v>0.82011144186046514</v>
      </c>
    </row>
    <row r="102" spans="1:11" ht="16.5" customHeight="1" x14ac:dyDescent="0.35">
      <c r="A102" s="640" t="s">
        <v>117</v>
      </c>
      <c r="B102" s="652" t="s">
        <v>540</v>
      </c>
      <c r="C102" s="653"/>
      <c r="D102" s="654">
        <f>D5-D33</f>
        <v>135485.80126800001</v>
      </c>
      <c r="E102" s="654"/>
      <c r="F102" s="654"/>
      <c r="G102" s="654"/>
      <c r="H102" s="654">
        <f>H5-H33</f>
        <v>162341.94678800003</v>
      </c>
      <c r="I102" s="654">
        <f>I5-I33</f>
        <v>251936955800</v>
      </c>
      <c r="J102" s="646">
        <f t="shared" si="2"/>
        <v>251936.9558</v>
      </c>
      <c r="K102" s="647">
        <f t="shared" si="3"/>
        <v>1.5518906898966831</v>
      </c>
    </row>
    <row r="103" spans="1:11" ht="16.5" customHeight="1" x14ac:dyDescent="0.35">
      <c r="A103" s="271" t="s">
        <v>391</v>
      </c>
      <c r="B103" s="655" t="s">
        <v>392</v>
      </c>
      <c r="C103" s="656">
        <f>SUM(C104:C108)</f>
        <v>899561</v>
      </c>
      <c r="D103" s="656">
        <f>SUM(D104:D108)</f>
        <v>984705</v>
      </c>
      <c r="E103" s="656"/>
      <c r="F103" s="656"/>
      <c r="G103" s="656"/>
      <c r="H103" s="656">
        <f>SUM(H104:H108)</f>
        <v>1014129</v>
      </c>
      <c r="I103" s="656">
        <f>SUM(I104:I108)</f>
        <v>1014130710792</v>
      </c>
      <c r="J103" s="646">
        <f t="shared" si="2"/>
        <v>1014130.7107920001</v>
      </c>
      <c r="K103" s="647">
        <f t="shared" si="3"/>
        <v>1.0000016869569848</v>
      </c>
    </row>
    <row r="104" spans="1:11" ht="16.5" customHeight="1" x14ac:dyDescent="0.35">
      <c r="A104" s="641">
        <v>1</v>
      </c>
      <c r="B104" s="657" t="s">
        <v>394</v>
      </c>
      <c r="C104" s="658">
        <v>72069</v>
      </c>
      <c r="D104" s="659">
        <f>29202+45290</f>
        <v>74492</v>
      </c>
      <c r="E104" s="659"/>
      <c r="F104" s="659"/>
      <c r="G104" s="659"/>
      <c r="H104" s="659">
        <v>74902</v>
      </c>
      <c r="I104" s="659">
        <f>29202270437+45700398921</f>
        <v>74902669358</v>
      </c>
      <c r="J104" s="632">
        <f t="shared" si="2"/>
        <v>74902.669357999999</v>
      </c>
      <c r="K104" s="634">
        <f t="shared" si="3"/>
        <v>1.0000089364502951</v>
      </c>
    </row>
    <row r="105" spans="1:11" ht="16.5" customHeight="1" x14ac:dyDescent="0.35">
      <c r="A105" s="283">
        <v>2</v>
      </c>
      <c r="B105" s="284" t="s">
        <v>395</v>
      </c>
      <c r="C105" s="660">
        <v>629469</v>
      </c>
      <c r="D105" s="660">
        <f>678474</f>
        <v>678474</v>
      </c>
      <c r="E105" s="660"/>
      <c r="F105" s="660"/>
      <c r="G105" s="660"/>
      <c r="H105" s="660">
        <v>708721</v>
      </c>
      <c r="I105" s="660">
        <v>708721562099</v>
      </c>
      <c r="J105" s="632">
        <f t="shared" si="2"/>
        <v>708721.56209899997</v>
      </c>
      <c r="K105" s="634">
        <f t="shared" si="3"/>
        <v>1.0000007931174608</v>
      </c>
    </row>
    <row r="106" spans="1:11" ht="36.75" customHeight="1" x14ac:dyDescent="0.35">
      <c r="A106" s="283">
        <v>3</v>
      </c>
      <c r="B106" s="506" t="s">
        <v>396</v>
      </c>
      <c r="C106" s="298">
        <v>107447</v>
      </c>
      <c r="D106" s="648">
        <v>126365</v>
      </c>
      <c r="E106" s="648"/>
      <c r="F106" s="648"/>
      <c r="G106" s="648"/>
      <c r="H106" s="648">
        <v>125078</v>
      </c>
      <c r="I106" s="648">
        <v>125077886668</v>
      </c>
      <c r="J106" s="632">
        <f t="shared" si="2"/>
        <v>125077.88666800001</v>
      </c>
      <c r="K106" s="634">
        <f t="shared" si="3"/>
        <v>0.99999909390940056</v>
      </c>
    </row>
    <row r="107" spans="1:11" ht="16.5" customHeight="1" x14ac:dyDescent="0.35">
      <c r="A107" s="642">
        <v>4</v>
      </c>
      <c r="B107" s="507" t="s">
        <v>397</v>
      </c>
      <c r="C107" s="661"/>
      <c r="D107" s="648">
        <v>3825</v>
      </c>
      <c r="E107" s="648"/>
      <c r="F107" s="648"/>
      <c r="G107" s="648"/>
      <c r="H107" s="648">
        <v>3825</v>
      </c>
      <c r="I107" s="648">
        <v>3825095019</v>
      </c>
      <c r="J107" s="632">
        <f t="shared" si="2"/>
        <v>3825.0950189999999</v>
      </c>
      <c r="K107" s="634">
        <f t="shared" si="3"/>
        <v>1.0000248415686275</v>
      </c>
    </row>
    <row r="108" spans="1:11" ht="16.5" customHeight="1" x14ac:dyDescent="0.35">
      <c r="A108" s="642">
        <v>5</v>
      </c>
      <c r="B108" s="507" t="s">
        <v>398</v>
      </c>
      <c r="C108" s="661">
        <v>90576</v>
      </c>
      <c r="D108" s="649">
        <v>101549</v>
      </c>
      <c r="E108" s="649"/>
      <c r="F108" s="649"/>
      <c r="G108" s="649"/>
      <c r="H108" s="649">
        <v>101603</v>
      </c>
      <c r="I108" s="649">
        <v>101603497648</v>
      </c>
      <c r="J108" s="633">
        <f t="shared" si="2"/>
        <v>101603.497648</v>
      </c>
      <c r="K108" s="645">
        <f t="shared" si="3"/>
        <v>1.0000048979656113</v>
      </c>
    </row>
    <row r="109" spans="1:11" ht="16.5" customHeight="1" x14ac:dyDescent="0.35">
      <c r="A109" s="271" t="s">
        <v>399</v>
      </c>
      <c r="B109" s="655" t="s">
        <v>655</v>
      </c>
      <c r="C109" s="656">
        <f>SUM(C110:C114)</f>
        <v>190704</v>
      </c>
      <c r="D109" s="656">
        <f>SUM(D110:D114)</f>
        <v>135485.80126799998</v>
      </c>
      <c r="E109" s="656"/>
      <c r="F109" s="656"/>
      <c r="G109" s="656"/>
      <c r="H109" s="656">
        <f>H102</f>
        <v>162341.94678800003</v>
      </c>
      <c r="I109" s="656">
        <f>SUM(I110:I114)</f>
        <v>246396288283</v>
      </c>
      <c r="J109" s="646">
        <f t="shared" si="2"/>
        <v>246396.288283</v>
      </c>
      <c r="K109" s="647">
        <f t="shared" si="3"/>
        <v>1.5177610787479672</v>
      </c>
    </row>
    <row r="110" spans="1:11" ht="16.5" customHeight="1" x14ac:dyDescent="0.35">
      <c r="A110" s="641">
        <v>1</v>
      </c>
      <c r="B110" s="657" t="s">
        <v>394</v>
      </c>
      <c r="C110" s="658">
        <v>18000</v>
      </c>
      <c r="D110" s="659">
        <v>18000</v>
      </c>
      <c r="E110" s="659"/>
      <c r="F110" s="659"/>
      <c r="G110" s="659"/>
      <c r="H110" s="659">
        <v>18000</v>
      </c>
      <c r="I110" s="659">
        <f>12150000000+28350000000</f>
        <v>40500000000</v>
      </c>
      <c r="J110" s="632">
        <f t="shared" si="2"/>
        <v>40500</v>
      </c>
      <c r="K110" s="634">
        <f t="shared" si="3"/>
        <v>2.25</v>
      </c>
    </row>
    <row r="111" spans="1:11" ht="16.5" customHeight="1" x14ac:dyDescent="0.35">
      <c r="A111" s="283">
        <v>2</v>
      </c>
      <c r="B111" s="284" t="s">
        <v>395</v>
      </c>
      <c r="C111" s="397">
        <v>49000</v>
      </c>
      <c r="D111" s="660">
        <f>D102*25%</f>
        <v>33871.450317000003</v>
      </c>
      <c r="E111" s="660"/>
      <c r="F111" s="660"/>
      <c r="G111" s="660"/>
      <c r="H111" s="660">
        <f>H109*25%</f>
        <v>40585.486697000008</v>
      </c>
      <c r="I111" s="660">
        <f>98118186308+1020201200+71895780</f>
        <v>99210283288</v>
      </c>
      <c r="J111" s="632">
        <f>I111/1000000</f>
        <v>99210.283288000006</v>
      </c>
      <c r="K111" s="634">
        <f t="shared" si="3"/>
        <v>2.4444768650595834</v>
      </c>
    </row>
    <row r="112" spans="1:11" ht="16.5" customHeight="1" x14ac:dyDescent="0.35">
      <c r="A112" s="283">
        <v>3</v>
      </c>
      <c r="B112" s="506" t="s">
        <v>401</v>
      </c>
      <c r="C112" s="298">
        <v>88524</v>
      </c>
      <c r="D112" s="648">
        <f>D102-D110-D111-D113-D114</f>
        <v>42458.738551000002</v>
      </c>
      <c r="E112" s="648"/>
      <c r="F112" s="648"/>
      <c r="G112" s="648"/>
      <c r="H112" s="648">
        <f>H109-H110-H111-H113-H114</f>
        <v>61921.867851000017</v>
      </c>
      <c r="I112" s="648">
        <v>78922000000</v>
      </c>
      <c r="J112" s="632">
        <f t="shared" si="2"/>
        <v>78922</v>
      </c>
      <c r="K112" s="634">
        <f t="shared" si="3"/>
        <v>1.2745416561061544</v>
      </c>
    </row>
    <row r="113" spans="1:11" ht="16.5" customHeight="1" x14ac:dyDescent="0.35">
      <c r="A113" s="642">
        <v>4</v>
      </c>
      <c r="B113" s="507" t="s">
        <v>397</v>
      </c>
      <c r="C113" s="661">
        <v>5500</v>
      </c>
      <c r="D113" s="327">
        <f>D6*5%+3500</f>
        <v>16705.612400000002</v>
      </c>
      <c r="E113" s="327"/>
      <c r="F113" s="327"/>
      <c r="G113" s="327"/>
      <c r="H113" s="327">
        <f>D113</f>
        <v>16705.612400000002</v>
      </c>
      <c r="I113" s="327">
        <v>27764004995</v>
      </c>
      <c r="J113" s="632">
        <f t="shared" si="2"/>
        <v>27764.004994999999</v>
      </c>
      <c r="K113" s="634">
        <f t="shared" si="3"/>
        <v>1.6619567322775906</v>
      </c>
    </row>
    <row r="114" spans="1:11" ht="16.5" customHeight="1" x14ac:dyDescent="0.35">
      <c r="A114" s="642">
        <v>5</v>
      </c>
      <c r="B114" s="507" t="s">
        <v>398</v>
      </c>
      <c r="C114" s="661">
        <v>29680</v>
      </c>
      <c r="D114" s="649">
        <f>D25-(D25*0.05)-D90</f>
        <v>24450</v>
      </c>
      <c r="E114" s="649"/>
      <c r="F114" s="649"/>
      <c r="G114" s="649"/>
      <c r="H114" s="649">
        <f>H6*8%</f>
        <v>25128.979840000004</v>
      </c>
      <c r="I114" s="649">
        <v>0</v>
      </c>
      <c r="J114" s="633">
        <f t="shared" si="2"/>
        <v>0</v>
      </c>
      <c r="K114" s="645">
        <f t="shared" si="3"/>
        <v>0</v>
      </c>
    </row>
    <row r="115" spans="1:11" ht="16.5" customHeight="1" x14ac:dyDescent="0.35">
      <c r="A115" s="271" t="s">
        <v>403</v>
      </c>
      <c r="B115" s="655" t="s">
        <v>404</v>
      </c>
      <c r="C115" s="662">
        <f>SUM(C116:C126)+C134</f>
        <v>110125</v>
      </c>
      <c r="D115" s="662">
        <f>D116+D121+D122+D126+D134</f>
        <v>253021</v>
      </c>
      <c r="E115" s="662"/>
      <c r="F115" s="662"/>
      <c r="G115" s="662"/>
      <c r="H115" s="662">
        <f>H116+H121+H122+H126+H134</f>
        <v>253021</v>
      </c>
      <c r="I115" s="662">
        <f>I116+I121+I122+I126+I134</f>
        <v>169583112324</v>
      </c>
      <c r="J115" s="646">
        <f t="shared" si="2"/>
        <v>169583.11232399999</v>
      </c>
      <c r="K115" s="647">
        <f t="shared" si="3"/>
        <v>0.67023334950063429</v>
      </c>
    </row>
    <row r="116" spans="1:11" ht="16.5" customHeight="1" x14ac:dyDescent="0.35">
      <c r="A116" s="643">
        <v>1</v>
      </c>
      <c r="B116" s="505" t="s">
        <v>394</v>
      </c>
      <c r="C116" s="663">
        <v>15578</v>
      </c>
      <c r="D116" s="664">
        <f>SUM(D117:D120)</f>
        <v>25150</v>
      </c>
      <c r="E116" s="664"/>
      <c r="F116" s="664"/>
      <c r="G116" s="664"/>
      <c r="H116" s="664">
        <f>SUM(H117:H120)</f>
        <v>35150</v>
      </c>
      <c r="I116" s="659">
        <f>I104+I110-I138</f>
        <v>23431890000</v>
      </c>
      <c r="J116" s="632">
        <f t="shared" si="2"/>
        <v>23431.89</v>
      </c>
      <c r="K116" s="634">
        <f t="shared" si="3"/>
        <v>0.66662560455192033</v>
      </c>
    </row>
    <row r="117" spans="1:11" ht="16.5" customHeight="1" x14ac:dyDescent="0.35">
      <c r="A117" s="641"/>
      <c r="B117" s="657" t="s">
        <v>544</v>
      </c>
      <c r="C117" s="659"/>
      <c r="D117" s="659">
        <v>16500</v>
      </c>
      <c r="E117" s="659"/>
      <c r="F117" s="659"/>
      <c r="G117" s="659"/>
      <c r="H117" s="659">
        <f>16500+15000</f>
        <v>31500</v>
      </c>
      <c r="I117" s="659"/>
      <c r="J117" s="632"/>
      <c r="K117" s="634"/>
    </row>
    <row r="118" spans="1:11" ht="16.5" customHeight="1" x14ac:dyDescent="0.35">
      <c r="A118" s="641"/>
      <c r="B118" s="657" t="s">
        <v>545</v>
      </c>
      <c r="C118" s="659"/>
      <c r="D118" s="659">
        <v>100</v>
      </c>
      <c r="E118" s="659"/>
      <c r="F118" s="659"/>
      <c r="G118" s="659"/>
      <c r="H118" s="659">
        <v>100</v>
      </c>
      <c r="I118" s="659"/>
      <c r="J118" s="632"/>
      <c r="K118" s="634"/>
    </row>
    <row r="119" spans="1:11" ht="16.5" customHeight="1" x14ac:dyDescent="0.35">
      <c r="A119" s="641"/>
      <c r="B119" s="657" t="s">
        <v>418</v>
      </c>
      <c r="C119" s="659"/>
      <c r="D119" s="659">
        <v>2750</v>
      </c>
      <c r="E119" s="659"/>
      <c r="F119" s="659"/>
      <c r="G119" s="659"/>
      <c r="H119" s="659">
        <v>2750</v>
      </c>
      <c r="I119" s="659"/>
      <c r="J119" s="632"/>
      <c r="K119" s="634"/>
    </row>
    <row r="120" spans="1:11" ht="16.5" customHeight="1" x14ac:dyDescent="0.35">
      <c r="A120" s="641"/>
      <c r="B120" s="657" t="s">
        <v>546</v>
      </c>
      <c r="C120" s="659"/>
      <c r="D120" s="659">
        <v>5800</v>
      </c>
      <c r="E120" s="659"/>
      <c r="F120" s="659"/>
      <c r="G120" s="659"/>
      <c r="H120" s="659">
        <v>800</v>
      </c>
      <c r="I120" s="659"/>
      <c r="J120" s="632"/>
      <c r="K120" s="634"/>
    </row>
    <row r="121" spans="1:11" ht="33.75" customHeight="1" x14ac:dyDescent="0.35">
      <c r="A121" s="283">
        <v>2</v>
      </c>
      <c r="B121" s="506" t="s">
        <v>396</v>
      </c>
      <c r="C121" s="298">
        <v>69635</v>
      </c>
      <c r="D121" s="648">
        <v>126670</v>
      </c>
      <c r="E121" s="648"/>
      <c r="F121" s="648"/>
      <c r="G121" s="648"/>
      <c r="H121" s="648">
        <f>D121-10000+5800-800</f>
        <v>121670</v>
      </c>
      <c r="I121" s="648">
        <f>I106+I112-I140</f>
        <v>89539752059</v>
      </c>
      <c r="J121" s="632">
        <f t="shared" si="2"/>
        <v>89539.752059000006</v>
      </c>
      <c r="K121" s="634">
        <f t="shared" si="3"/>
        <v>0.73592300533410049</v>
      </c>
    </row>
    <row r="122" spans="1:11" ht="16.5" customHeight="1" x14ac:dyDescent="0.35">
      <c r="A122" s="283">
        <v>3</v>
      </c>
      <c r="B122" s="507" t="s">
        <v>397</v>
      </c>
      <c r="C122" s="661">
        <v>1675</v>
      </c>
      <c r="D122" s="327">
        <f>SUM(D123:D125)</f>
        <v>20187</v>
      </c>
      <c r="E122" s="327"/>
      <c r="F122" s="327"/>
      <c r="G122" s="327"/>
      <c r="H122" s="327">
        <v>20187</v>
      </c>
      <c r="I122" s="327">
        <f>I107+I113-I141</f>
        <v>28496910395</v>
      </c>
      <c r="J122" s="632">
        <f t="shared" si="2"/>
        <v>28496.910394999999</v>
      </c>
      <c r="K122" s="634">
        <f t="shared" si="3"/>
        <v>1.4116466238173082</v>
      </c>
    </row>
    <row r="123" spans="1:11" ht="34.5" hidden="1" customHeight="1" x14ac:dyDescent="0.35">
      <c r="A123" s="313"/>
      <c r="B123" s="408" t="s">
        <v>652</v>
      </c>
      <c r="C123" s="324"/>
      <c r="D123" s="327">
        <v>9637</v>
      </c>
      <c r="E123" s="327"/>
      <c r="F123" s="327"/>
      <c r="G123" s="327"/>
      <c r="H123" s="327">
        <v>9637</v>
      </c>
      <c r="I123" s="327"/>
      <c r="J123" s="632">
        <f t="shared" si="2"/>
        <v>0</v>
      </c>
      <c r="K123" s="634">
        <f t="shared" si="3"/>
        <v>0</v>
      </c>
    </row>
    <row r="124" spans="1:11" ht="16.5" hidden="1" customHeight="1" x14ac:dyDescent="0.35">
      <c r="A124" s="313"/>
      <c r="B124" s="409" t="s">
        <v>523</v>
      </c>
      <c r="C124" s="366"/>
      <c r="D124" s="327">
        <v>300</v>
      </c>
      <c r="E124" s="327"/>
      <c r="F124" s="327"/>
      <c r="G124" s="327"/>
      <c r="H124" s="327">
        <v>300</v>
      </c>
      <c r="I124" s="327"/>
      <c r="J124" s="632">
        <f t="shared" si="2"/>
        <v>0</v>
      </c>
      <c r="K124" s="634">
        <f t="shared" si="3"/>
        <v>0</v>
      </c>
    </row>
    <row r="125" spans="1:11" ht="16.5" hidden="1" customHeight="1" x14ac:dyDescent="0.35">
      <c r="A125" s="283"/>
      <c r="B125" s="507" t="s">
        <v>547</v>
      </c>
      <c r="C125" s="661"/>
      <c r="D125" s="327">
        <v>10250</v>
      </c>
      <c r="E125" s="327"/>
      <c r="F125" s="327"/>
      <c r="G125" s="327"/>
      <c r="H125" s="327">
        <v>10250</v>
      </c>
      <c r="I125" s="327"/>
      <c r="J125" s="632">
        <f t="shared" si="2"/>
        <v>0</v>
      </c>
      <c r="K125" s="634">
        <f t="shared" si="3"/>
        <v>0</v>
      </c>
    </row>
    <row r="126" spans="1:11" ht="16.5" customHeight="1" x14ac:dyDescent="0.35">
      <c r="A126" s="283">
        <v>4</v>
      </c>
      <c r="B126" s="284" t="s">
        <v>395</v>
      </c>
      <c r="C126" s="648">
        <v>4185</v>
      </c>
      <c r="D126" s="327">
        <f>SUM(D127:D133)</f>
        <v>51014</v>
      </c>
      <c r="E126" s="327"/>
      <c r="F126" s="327"/>
      <c r="G126" s="327"/>
      <c r="H126" s="327">
        <f>SUM(H127:H133)</f>
        <v>51014</v>
      </c>
      <c r="I126" s="327">
        <f>I105+I111-I139</f>
        <v>1020201200</v>
      </c>
      <c r="J126" s="632">
        <f t="shared" si="2"/>
        <v>1020.2012</v>
      </c>
      <c r="K126" s="634">
        <f t="shared" si="3"/>
        <v>1.9998455325988942E-2</v>
      </c>
    </row>
    <row r="127" spans="1:11" ht="16.5" hidden="1" customHeight="1" x14ac:dyDescent="0.35">
      <c r="A127" s="283" t="s">
        <v>431</v>
      </c>
      <c r="B127" s="284" t="s">
        <v>453</v>
      </c>
      <c r="C127" s="397"/>
      <c r="D127" s="327">
        <v>425</v>
      </c>
      <c r="E127" s="327"/>
      <c r="F127" s="327"/>
      <c r="G127" s="327"/>
      <c r="H127" s="327">
        <v>425</v>
      </c>
      <c r="I127" s="327"/>
      <c r="J127" s="632">
        <f t="shared" si="2"/>
        <v>0</v>
      </c>
      <c r="K127" s="634">
        <f t="shared" si="3"/>
        <v>0</v>
      </c>
    </row>
    <row r="128" spans="1:11" ht="16.5" hidden="1" customHeight="1" x14ac:dyDescent="0.35">
      <c r="A128" s="283" t="s">
        <v>431</v>
      </c>
      <c r="B128" s="284" t="s">
        <v>454</v>
      </c>
      <c r="C128" s="397"/>
      <c r="D128" s="327">
        <v>5230</v>
      </c>
      <c r="E128" s="327"/>
      <c r="F128" s="327"/>
      <c r="G128" s="327"/>
      <c r="H128" s="327">
        <v>5230</v>
      </c>
      <c r="I128" s="327"/>
      <c r="J128" s="632">
        <f t="shared" si="2"/>
        <v>0</v>
      </c>
      <c r="K128" s="634">
        <f t="shared" si="3"/>
        <v>0</v>
      </c>
    </row>
    <row r="129" spans="1:11" ht="16.5" hidden="1" customHeight="1" x14ac:dyDescent="0.35">
      <c r="A129" s="283" t="s">
        <v>431</v>
      </c>
      <c r="B129" s="284" t="s">
        <v>455</v>
      </c>
      <c r="C129" s="397"/>
      <c r="D129" s="327">
        <v>2633</v>
      </c>
      <c r="E129" s="327"/>
      <c r="F129" s="327"/>
      <c r="G129" s="327"/>
      <c r="H129" s="327">
        <v>2633</v>
      </c>
      <c r="I129" s="327"/>
      <c r="J129" s="632">
        <f t="shared" si="2"/>
        <v>0</v>
      </c>
      <c r="K129" s="634">
        <f t="shared" si="3"/>
        <v>0</v>
      </c>
    </row>
    <row r="130" spans="1:11" ht="16.5" hidden="1" customHeight="1" x14ac:dyDescent="0.35">
      <c r="A130" s="283" t="s">
        <v>431</v>
      </c>
      <c r="B130" s="284" t="s">
        <v>456</v>
      </c>
      <c r="C130" s="397"/>
      <c r="D130" s="327">
        <v>26500</v>
      </c>
      <c r="E130" s="327"/>
      <c r="F130" s="327"/>
      <c r="G130" s="327"/>
      <c r="H130" s="327">
        <v>26500</v>
      </c>
      <c r="I130" s="327"/>
      <c r="J130" s="632">
        <f t="shared" si="2"/>
        <v>0</v>
      </c>
      <c r="K130" s="634">
        <f t="shared" si="3"/>
        <v>0</v>
      </c>
    </row>
    <row r="131" spans="1:11" ht="16.5" hidden="1" customHeight="1" x14ac:dyDescent="0.35">
      <c r="A131" s="283" t="s">
        <v>431</v>
      </c>
      <c r="B131" s="284" t="s">
        <v>457</v>
      </c>
      <c r="C131" s="397"/>
      <c r="D131" s="327">
        <v>10000</v>
      </c>
      <c r="E131" s="327"/>
      <c r="F131" s="327"/>
      <c r="G131" s="327"/>
      <c r="H131" s="327">
        <v>10000</v>
      </c>
      <c r="I131" s="327"/>
      <c r="J131" s="632">
        <f t="shared" si="2"/>
        <v>0</v>
      </c>
      <c r="K131" s="634">
        <f t="shared" si="3"/>
        <v>0</v>
      </c>
    </row>
    <row r="132" spans="1:11" ht="16.5" hidden="1" customHeight="1" x14ac:dyDescent="0.35">
      <c r="A132" s="283" t="s">
        <v>431</v>
      </c>
      <c r="B132" s="284" t="s">
        <v>458</v>
      </c>
      <c r="C132" s="397"/>
      <c r="D132" s="327">
        <v>5300</v>
      </c>
      <c r="E132" s="327"/>
      <c r="F132" s="327"/>
      <c r="G132" s="327"/>
      <c r="H132" s="327">
        <v>5300</v>
      </c>
      <c r="I132" s="327"/>
      <c r="J132" s="632">
        <f t="shared" si="2"/>
        <v>0</v>
      </c>
      <c r="K132" s="634">
        <f t="shared" si="3"/>
        <v>0</v>
      </c>
    </row>
    <row r="133" spans="1:11" ht="16.5" hidden="1" customHeight="1" x14ac:dyDescent="0.35">
      <c r="A133" s="283" t="s">
        <v>431</v>
      </c>
      <c r="B133" s="284" t="s">
        <v>459</v>
      </c>
      <c r="C133" s="397"/>
      <c r="D133" s="327">
        <v>926</v>
      </c>
      <c r="E133" s="327"/>
      <c r="F133" s="327"/>
      <c r="G133" s="327"/>
      <c r="H133" s="327">
        <v>926</v>
      </c>
      <c r="I133" s="327"/>
      <c r="J133" s="632">
        <f t="shared" si="2"/>
        <v>0</v>
      </c>
      <c r="K133" s="634">
        <f t="shared" si="3"/>
        <v>0</v>
      </c>
    </row>
    <row r="134" spans="1:11" ht="16.5" customHeight="1" x14ac:dyDescent="0.35">
      <c r="A134" s="283">
        <v>5</v>
      </c>
      <c r="B134" s="506" t="s">
        <v>409</v>
      </c>
      <c r="C134" s="298">
        <f>SUM(C135:C136)</f>
        <v>19052</v>
      </c>
      <c r="D134" s="324">
        <f>SUM(D135:D136)</f>
        <v>30000</v>
      </c>
      <c r="E134" s="324"/>
      <c r="F134" s="324"/>
      <c r="G134" s="324"/>
      <c r="H134" s="324">
        <f>SUM(H135:H136)</f>
        <v>25000</v>
      </c>
      <c r="I134" s="324">
        <f>I108+I114-I142</f>
        <v>27094358670</v>
      </c>
      <c r="J134" s="632">
        <f t="shared" si="2"/>
        <v>27094.358670000001</v>
      </c>
      <c r="K134" s="634">
        <f t="shared" si="3"/>
        <v>1.0837743468000001</v>
      </c>
    </row>
    <row r="135" spans="1:11" ht="16.5" hidden="1" customHeight="1" x14ac:dyDescent="0.35">
      <c r="A135" s="283" t="s">
        <v>431</v>
      </c>
      <c r="B135" s="507" t="s">
        <v>549</v>
      </c>
      <c r="C135" s="661">
        <v>19052</v>
      </c>
      <c r="D135" s="665">
        <v>25000</v>
      </c>
      <c r="E135" s="665"/>
      <c r="F135" s="665"/>
      <c r="G135" s="665"/>
      <c r="H135" s="665">
        <v>25000</v>
      </c>
      <c r="I135" s="665"/>
      <c r="J135" s="632">
        <f t="shared" si="2"/>
        <v>0</v>
      </c>
      <c r="K135" s="634">
        <f t="shared" si="3"/>
        <v>0</v>
      </c>
    </row>
    <row r="136" spans="1:11" ht="16.5" hidden="1" customHeight="1" x14ac:dyDescent="0.35">
      <c r="A136" s="283" t="s">
        <v>431</v>
      </c>
      <c r="B136" s="666" t="s">
        <v>460</v>
      </c>
      <c r="C136" s="667"/>
      <c r="D136" s="668">
        <v>5000</v>
      </c>
      <c r="E136" s="668"/>
      <c r="F136" s="668"/>
      <c r="G136" s="668"/>
      <c r="H136" s="668">
        <v>0</v>
      </c>
      <c r="I136" s="649"/>
      <c r="J136" s="633">
        <f t="shared" ref="J136:J142" si="4">I136/1000000</f>
        <v>0</v>
      </c>
      <c r="K136" s="645" t="e">
        <f t="shared" ref="K136:K142" si="5">J136/H136</f>
        <v>#DIV/0!</v>
      </c>
    </row>
    <row r="137" spans="1:11" ht="16.5" customHeight="1" x14ac:dyDescent="0.35">
      <c r="A137" s="271" t="s">
        <v>406</v>
      </c>
      <c r="B137" s="655" t="s">
        <v>407</v>
      </c>
      <c r="C137" s="662">
        <f>SUM(C138:C142)</f>
        <v>980140</v>
      </c>
      <c r="D137" s="662">
        <f>SUM(D138:D142)</f>
        <v>867169.80126800004</v>
      </c>
      <c r="E137" s="662"/>
      <c r="F137" s="662"/>
      <c r="G137" s="662"/>
      <c r="H137" s="662">
        <f>SUM(H138:H142)</f>
        <v>923449.94678800006</v>
      </c>
      <c r="I137" s="662">
        <f>SUM(I138:I142)</f>
        <v>1090943886751</v>
      </c>
      <c r="J137" s="646">
        <f t="shared" si="4"/>
        <v>1090943.8867510001</v>
      </c>
      <c r="K137" s="647">
        <f t="shared" si="5"/>
        <v>1.1813784716167754</v>
      </c>
    </row>
    <row r="138" spans="1:11" s="317" customFormat="1" ht="16.5" customHeight="1" x14ac:dyDescent="0.35">
      <c r="A138" s="643">
        <v>1</v>
      </c>
      <c r="B138" s="505" t="s">
        <v>394</v>
      </c>
      <c r="C138" s="664">
        <f>C104+C110-C116</f>
        <v>74491</v>
      </c>
      <c r="D138" s="664">
        <f>D104+D110-D116</f>
        <v>67342</v>
      </c>
      <c r="E138" s="664"/>
      <c r="F138" s="664"/>
      <c r="G138" s="664"/>
      <c r="H138" s="664">
        <f>H104+H110-H116</f>
        <v>57752</v>
      </c>
      <c r="I138" s="664">
        <f>38651730437+53319048921</f>
        <v>91970779358</v>
      </c>
      <c r="J138" s="632">
        <f t="shared" si="4"/>
        <v>91970.779358</v>
      </c>
      <c r="K138" s="634">
        <f t="shared" si="5"/>
        <v>1.5925124559842083</v>
      </c>
    </row>
    <row r="139" spans="1:11" s="317" customFormat="1" ht="16.5" customHeight="1" x14ac:dyDescent="0.35">
      <c r="A139" s="283">
        <v>2</v>
      </c>
      <c r="B139" s="506" t="s">
        <v>408</v>
      </c>
      <c r="C139" s="648">
        <f>C105+C111-C126</f>
        <v>674284</v>
      </c>
      <c r="D139" s="648">
        <f>D105+D111-D126</f>
        <v>661331.45031700004</v>
      </c>
      <c r="E139" s="648"/>
      <c r="F139" s="648"/>
      <c r="G139" s="648"/>
      <c r="H139" s="648">
        <f>H105+H111-H126</f>
        <v>698292.48669699999</v>
      </c>
      <c r="I139" s="648">
        <v>806911644187</v>
      </c>
      <c r="J139" s="632">
        <f t="shared" si="4"/>
        <v>806911.644187</v>
      </c>
      <c r="K139" s="634">
        <f t="shared" si="5"/>
        <v>1.155549658000447</v>
      </c>
    </row>
    <row r="140" spans="1:11" ht="16.5" customHeight="1" x14ac:dyDescent="0.35">
      <c r="A140" s="283">
        <v>3</v>
      </c>
      <c r="B140" s="506" t="s">
        <v>401</v>
      </c>
      <c r="C140" s="648">
        <f>C106+C112-C121</f>
        <v>126336</v>
      </c>
      <c r="D140" s="648">
        <f>D106+D112-D121</f>
        <v>42153.738551000017</v>
      </c>
      <c r="E140" s="648"/>
      <c r="F140" s="648"/>
      <c r="G140" s="648"/>
      <c r="H140" s="648">
        <f>H106+H112-H121</f>
        <v>65329.867851000017</v>
      </c>
      <c r="I140" s="648">
        <v>114460134609</v>
      </c>
      <c r="J140" s="632">
        <f t="shared" si="4"/>
        <v>114460.134609</v>
      </c>
      <c r="K140" s="634">
        <f t="shared" si="5"/>
        <v>1.7520337691490973</v>
      </c>
    </row>
    <row r="141" spans="1:11" ht="16.5" customHeight="1" x14ac:dyDescent="0.35">
      <c r="A141" s="283">
        <v>4</v>
      </c>
      <c r="B141" s="507" t="s">
        <v>397</v>
      </c>
      <c r="C141" s="648">
        <f>C113+C107-C122</f>
        <v>3825</v>
      </c>
      <c r="D141" s="648">
        <f>D113+D107-D122</f>
        <v>343.6124000000018</v>
      </c>
      <c r="E141" s="648"/>
      <c r="F141" s="648"/>
      <c r="G141" s="648"/>
      <c r="H141" s="648">
        <f>H113+H107-H122</f>
        <v>343.6124000000018</v>
      </c>
      <c r="I141" s="648">
        <v>3092189619</v>
      </c>
      <c r="J141" s="632">
        <f t="shared" si="4"/>
        <v>3092.1896190000002</v>
      </c>
      <c r="K141" s="634">
        <f t="shared" si="5"/>
        <v>8.9990629529085222</v>
      </c>
    </row>
    <row r="142" spans="1:11" ht="16.5" customHeight="1" x14ac:dyDescent="0.35">
      <c r="A142" s="283">
        <v>5</v>
      </c>
      <c r="B142" s="506" t="s">
        <v>409</v>
      </c>
      <c r="C142" s="648">
        <f>C108+C114-C134</f>
        <v>101204</v>
      </c>
      <c r="D142" s="648">
        <f>D108+D114-D134</f>
        <v>95999</v>
      </c>
      <c r="E142" s="648"/>
      <c r="F142" s="648"/>
      <c r="G142" s="648"/>
      <c r="H142" s="648">
        <f>H108+H114-H134</f>
        <v>101731.97984</v>
      </c>
      <c r="I142" s="648">
        <v>74509138978</v>
      </c>
      <c r="J142" s="632">
        <f t="shared" si="4"/>
        <v>74509.138978000003</v>
      </c>
      <c r="K142" s="634">
        <f t="shared" si="5"/>
        <v>0.73240626099270856</v>
      </c>
    </row>
    <row r="143" spans="1:11" ht="16.5" customHeight="1" x14ac:dyDescent="0.35">
      <c r="A143" s="644"/>
      <c r="B143" s="669"/>
      <c r="C143" s="670"/>
      <c r="D143" s="671"/>
      <c r="E143" s="671"/>
      <c r="F143" s="671"/>
      <c r="G143" s="671"/>
      <c r="H143" s="671"/>
      <c r="I143" s="671"/>
      <c r="J143" s="671"/>
      <c r="K143" s="671"/>
    </row>
    <row r="144" spans="1:11" ht="36.75" hidden="1" customHeight="1" x14ac:dyDescent="0.35">
      <c r="A144" s="681" t="s">
        <v>470</v>
      </c>
      <c r="B144" s="681"/>
      <c r="C144" s="681"/>
      <c r="D144" s="681"/>
      <c r="E144" s="681"/>
      <c r="F144" s="681"/>
      <c r="G144" s="681"/>
      <c r="H144" s="681"/>
      <c r="I144" s="681"/>
      <c r="J144" s="681"/>
      <c r="K144" s="681"/>
    </row>
    <row r="145" spans="1:11" ht="16.5" x14ac:dyDescent="0.35">
      <c r="A145" s="292"/>
      <c r="C145" s="682"/>
      <c r="D145" s="682"/>
      <c r="E145" s="682"/>
      <c r="F145" s="682"/>
      <c r="G145" s="682"/>
      <c r="H145" s="682"/>
      <c r="I145" s="682"/>
      <c r="J145" s="682"/>
      <c r="K145" s="682"/>
    </row>
    <row r="146" spans="1:11" ht="16.5" x14ac:dyDescent="0.35">
      <c r="A146" s="683"/>
      <c r="B146" s="683"/>
      <c r="C146" s="293"/>
      <c r="D146" s="676"/>
      <c r="E146" s="676"/>
      <c r="F146" s="676"/>
      <c r="G146" s="676"/>
      <c r="H146" s="676"/>
      <c r="I146" s="676"/>
      <c r="J146" s="676"/>
      <c r="K146" s="676"/>
    </row>
    <row r="147" spans="1:11" ht="15.65" customHeight="1" x14ac:dyDescent="0.35">
      <c r="A147" s="292"/>
      <c r="B147" s="294"/>
      <c r="C147" s="294"/>
      <c r="D147" s="295"/>
      <c r="E147" s="295"/>
      <c r="F147" s="295"/>
      <c r="G147" s="295"/>
      <c r="H147" s="295"/>
      <c r="I147" s="295"/>
      <c r="J147" s="295"/>
      <c r="K147" s="295"/>
    </row>
    <row r="148" spans="1:11" ht="16.5" x14ac:dyDescent="0.35">
      <c r="A148" s="292"/>
      <c r="B148" s="294"/>
      <c r="C148" s="294"/>
      <c r="D148" s="295"/>
      <c r="E148" s="295"/>
      <c r="F148" s="295"/>
      <c r="G148" s="295"/>
      <c r="H148" s="295"/>
      <c r="I148" s="295"/>
      <c r="J148" s="295"/>
      <c r="K148" s="295"/>
    </row>
    <row r="149" spans="1:11" ht="16.5" x14ac:dyDescent="0.35">
      <c r="A149" s="292"/>
      <c r="B149" s="294"/>
      <c r="C149" s="294"/>
      <c r="D149" s="295"/>
      <c r="E149" s="295"/>
      <c r="F149" s="295"/>
      <c r="G149" s="295"/>
      <c r="H149" s="295"/>
      <c r="I149" s="295"/>
      <c r="J149" s="295"/>
      <c r="K149" s="295"/>
    </row>
    <row r="150" spans="1:11" ht="16.5" x14ac:dyDescent="0.35">
      <c r="A150" s="292"/>
      <c r="B150" s="294"/>
      <c r="C150" s="294"/>
      <c r="D150" s="295"/>
      <c r="E150" s="295"/>
      <c r="F150" s="295"/>
      <c r="G150" s="295"/>
      <c r="H150" s="295"/>
      <c r="I150" s="295"/>
      <c r="J150" s="295"/>
      <c r="K150" s="295"/>
    </row>
    <row r="151" spans="1:11" ht="16.5" x14ac:dyDescent="0.35">
      <c r="A151" s="675"/>
      <c r="B151" s="675"/>
      <c r="C151" s="294"/>
      <c r="D151" s="676"/>
      <c r="E151" s="676"/>
      <c r="F151" s="676"/>
      <c r="G151" s="676"/>
      <c r="H151" s="676"/>
      <c r="I151" s="676"/>
      <c r="J151" s="676"/>
      <c r="K151" s="676"/>
    </row>
    <row r="154" spans="1:11" x14ac:dyDescent="0.35">
      <c r="B154" s="270" t="s">
        <v>405</v>
      </c>
    </row>
  </sheetData>
  <mergeCells count="9">
    <mergeCell ref="A146:B146"/>
    <mergeCell ref="D146:K146"/>
    <mergeCell ref="A151:B151"/>
    <mergeCell ref="D151:K151"/>
    <mergeCell ref="A1:B1"/>
    <mergeCell ref="A144:K144"/>
    <mergeCell ref="C145:K145"/>
    <mergeCell ref="D3:K3"/>
    <mergeCell ref="A2:K2"/>
  </mergeCells>
  <pageMargins left="1.02" right="0.23622047244094491" top="0.7" bottom="0.62992125984251968" header="0.31496062992125984" footer="0.31496062992125984"/>
  <pageSetup paperSize="9" fitToWidth="0" orientation="portrait" r:id="rId1"/>
  <headerFooter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3BE0-FB2B-4FED-954D-F864EC283A67}">
  <sheetPr>
    <tabColor rgb="FFFFFF00"/>
  </sheetPr>
  <dimension ref="A1:K32"/>
  <sheetViews>
    <sheetView tabSelected="1" zoomScale="115" zoomScaleNormal="115" workbookViewId="0">
      <selection activeCell="A3" sqref="A3:I3"/>
    </sheetView>
  </sheetViews>
  <sheetFormatPr defaultRowHeight="15.5" x14ac:dyDescent="0.35"/>
  <cols>
    <col min="1" max="1" width="6.08984375" style="269" customWidth="1"/>
    <col min="2" max="2" width="32.453125" style="270" customWidth="1"/>
    <col min="3" max="3" width="14.453125" style="270" hidden="1" customWidth="1"/>
    <col min="4" max="4" width="2.453125" style="267" hidden="1" customWidth="1"/>
    <col min="5" max="7" width="1.6328125" style="267" hidden="1" customWidth="1"/>
    <col min="8" max="8" width="14" style="267" customWidth="1"/>
    <col min="9" max="9" width="11.08984375" style="267" customWidth="1"/>
    <col min="10" max="10" width="8.90625" style="267"/>
    <col min="11" max="11" width="18.54296875" style="267" customWidth="1"/>
    <col min="12" max="248" width="8.90625" style="267"/>
    <col min="249" max="249" width="6.08984375" style="267" customWidth="1"/>
    <col min="250" max="250" width="42.90625" style="267" customWidth="1"/>
    <col min="251" max="253" width="0" style="267" hidden="1" customWidth="1"/>
    <col min="254" max="254" width="14.36328125" style="267" customWidth="1"/>
    <col min="255" max="255" width="26.453125" style="267" customWidth="1"/>
    <col min="256" max="256" width="20.6328125" style="267" customWidth="1"/>
    <col min="257" max="257" width="22.54296875" style="267" customWidth="1"/>
    <col min="258" max="258" width="10.36328125" style="267" customWidth="1"/>
    <col min="259" max="260" width="18.6328125" style="267" customWidth="1"/>
    <col min="261" max="504" width="8.90625" style="267"/>
    <col min="505" max="505" width="6.08984375" style="267" customWidth="1"/>
    <col min="506" max="506" width="42.90625" style="267" customWidth="1"/>
    <col min="507" max="509" width="0" style="267" hidden="1" customWidth="1"/>
    <col min="510" max="510" width="14.36328125" style="267" customWidth="1"/>
    <col min="511" max="511" width="26.453125" style="267" customWidth="1"/>
    <col min="512" max="512" width="20.6328125" style="267" customWidth="1"/>
    <col min="513" max="513" width="22.54296875" style="267" customWidth="1"/>
    <col min="514" max="514" width="10.36328125" style="267" customWidth="1"/>
    <col min="515" max="516" width="18.6328125" style="267" customWidth="1"/>
    <col min="517" max="760" width="8.90625" style="267"/>
    <col min="761" max="761" width="6.08984375" style="267" customWidth="1"/>
    <col min="762" max="762" width="42.90625" style="267" customWidth="1"/>
    <col min="763" max="765" width="0" style="267" hidden="1" customWidth="1"/>
    <col min="766" max="766" width="14.36328125" style="267" customWidth="1"/>
    <col min="767" max="767" width="26.453125" style="267" customWidth="1"/>
    <col min="768" max="768" width="20.6328125" style="267" customWidth="1"/>
    <col min="769" max="769" width="22.54296875" style="267" customWidth="1"/>
    <col min="770" max="770" width="10.36328125" style="267" customWidth="1"/>
    <col min="771" max="772" width="18.6328125" style="267" customWidth="1"/>
    <col min="773" max="1016" width="8.90625" style="267"/>
    <col min="1017" max="1017" width="6.08984375" style="267" customWidth="1"/>
    <col min="1018" max="1018" width="42.90625" style="267" customWidth="1"/>
    <col min="1019" max="1021" width="0" style="267" hidden="1" customWidth="1"/>
    <col min="1022" max="1022" width="14.36328125" style="267" customWidth="1"/>
    <col min="1023" max="1023" width="26.453125" style="267" customWidth="1"/>
    <col min="1024" max="1024" width="20.6328125" style="267" customWidth="1"/>
    <col min="1025" max="1025" width="22.54296875" style="267" customWidth="1"/>
    <col min="1026" max="1026" width="10.36328125" style="267" customWidth="1"/>
    <col min="1027" max="1028" width="18.6328125" style="267" customWidth="1"/>
    <col min="1029" max="1272" width="8.90625" style="267"/>
    <col min="1273" max="1273" width="6.08984375" style="267" customWidth="1"/>
    <col min="1274" max="1274" width="42.90625" style="267" customWidth="1"/>
    <col min="1275" max="1277" width="0" style="267" hidden="1" customWidth="1"/>
    <col min="1278" max="1278" width="14.36328125" style="267" customWidth="1"/>
    <col min="1279" max="1279" width="26.453125" style="267" customWidth="1"/>
    <col min="1280" max="1280" width="20.6328125" style="267" customWidth="1"/>
    <col min="1281" max="1281" width="22.54296875" style="267" customWidth="1"/>
    <col min="1282" max="1282" width="10.36328125" style="267" customWidth="1"/>
    <col min="1283" max="1284" width="18.6328125" style="267" customWidth="1"/>
    <col min="1285" max="1528" width="8.90625" style="267"/>
    <col min="1529" max="1529" width="6.08984375" style="267" customWidth="1"/>
    <col min="1530" max="1530" width="42.90625" style="267" customWidth="1"/>
    <col min="1531" max="1533" width="0" style="267" hidden="1" customWidth="1"/>
    <col min="1534" max="1534" width="14.36328125" style="267" customWidth="1"/>
    <col min="1535" max="1535" width="26.453125" style="267" customWidth="1"/>
    <col min="1536" max="1536" width="20.6328125" style="267" customWidth="1"/>
    <col min="1537" max="1537" width="22.54296875" style="267" customWidth="1"/>
    <col min="1538" max="1538" width="10.36328125" style="267" customWidth="1"/>
    <col min="1539" max="1540" width="18.6328125" style="267" customWidth="1"/>
    <col min="1541" max="1784" width="8.90625" style="267"/>
    <col min="1785" max="1785" width="6.08984375" style="267" customWidth="1"/>
    <col min="1786" max="1786" width="42.90625" style="267" customWidth="1"/>
    <col min="1787" max="1789" width="0" style="267" hidden="1" customWidth="1"/>
    <col min="1790" max="1790" width="14.36328125" style="267" customWidth="1"/>
    <col min="1791" max="1791" width="26.453125" style="267" customWidth="1"/>
    <col min="1792" max="1792" width="20.6328125" style="267" customWidth="1"/>
    <col min="1793" max="1793" width="22.54296875" style="267" customWidth="1"/>
    <col min="1794" max="1794" width="10.36328125" style="267" customWidth="1"/>
    <col min="1795" max="1796" width="18.6328125" style="267" customWidth="1"/>
    <col min="1797" max="2040" width="8.90625" style="267"/>
    <col min="2041" max="2041" width="6.08984375" style="267" customWidth="1"/>
    <col min="2042" max="2042" width="42.90625" style="267" customWidth="1"/>
    <col min="2043" max="2045" width="0" style="267" hidden="1" customWidth="1"/>
    <col min="2046" max="2046" width="14.36328125" style="267" customWidth="1"/>
    <col min="2047" max="2047" width="26.453125" style="267" customWidth="1"/>
    <col min="2048" max="2048" width="20.6328125" style="267" customWidth="1"/>
    <col min="2049" max="2049" width="22.54296875" style="267" customWidth="1"/>
    <col min="2050" max="2050" width="10.36328125" style="267" customWidth="1"/>
    <col min="2051" max="2052" width="18.6328125" style="267" customWidth="1"/>
    <col min="2053" max="2296" width="8.90625" style="267"/>
    <col min="2297" max="2297" width="6.08984375" style="267" customWidth="1"/>
    <col min="2298" max="2298" width="42.90625" style="267" customWidth="1"/>
    <col min="2299" max="2301" width="0" style="267" hidden="1" customWidth="1"/>
    <col min="2302" max="2302" width="14.36328125" style="267" customWidth="1"/>
    <col min="2303" max="2303" width="26.453125" style="267" customWidth="1"/>
    <col min="2304" max="2304" width="20.6328125" style="267" customWidth="1"/>
    <col min="2305" max="2305" width="22.54296875" style="267" customWidth="1"/>
    <col min="2306" max="2306" width="10.36328125" style="267" customWidth="1"/>
    <col min="2307" max="2308" width="18.6328125" style="267" customWidth="1"/>
    <col min="2309" max="2552" width="8.90625" style="267"/>
    <col min="2553" max="2553" width="6.08984375" style="267" customWidth="1"/>
    <col min="2554" max="2554" width="42.90625" style="267" customWidth="1"/>
    <col min="2555" max="2557" width="0" style="267" hidden="1" customWidth="1"/>
    <col min="2558" max="2558" width="14.36328125" style="267" customWidth="1"/>
    <col min="2559" max="2559" width="26.453125" style="267" customWidth="1"/>
    <col min="2560" max="2560" width="20.6328125" style="267" customWidth="1"/>
    <col min="2561" max="2561" width="22.54296875" style="267" customWidth="1"/>
    <col min="2562" max="2562" width="10.36328125" style="267" customWidth="1"/>
    <col min="2563" max="2564" width="18.6328125" style="267" customWidth="1"/>
    <col min="2565" max="2808" width="8.90625" style="267"/>
    <col min="2809" max="2809" width="6.08984375" style="267" customWidth="1"/>
    <col min="2810" max="2810" width="42.90625" style="267" customWidth="1"/>
    <col min="2811" max="2813" width="0" style="267" hidden="1" customWidth="1"/>
    <col min="2814" max="2814" width="14.36328125" style="267" customWidth="1"/>
    <col min="2815" max="2815" width="26.453125" style="267" customWidth="1"/>
    <col min="2816" max="2816" width="20.6328125" style="267" customWidth="1"/>
    <col min="2817" max="2817" width="22.54296875" style="267" customWidth="1"/>
    <col min="2818" max="2818" width="10.36328125" style="267" customWidth="1"/>
    <col min="2819" max="2820" width="18.6328125" style="267" customWidth="1"/>
    <col min="2821" max="3064" width="8.90625" style="267"/>
    <col min="3065" max="3065" width="6.08984375" style="267" customWidth="1"/>
    <col min="3066" max="3066" width="42.90625" style="267" customWidth="1"/>
    <col min="3067" max="3069" width="0" style="267" hidden="1" customWidth="1"/>
    <col min="3070" max="3070" width="14.36328125" style="267" customWidth="1"/>
    <col min="3071" max="3071" width="26.453125" style="267" customWidth="1"/>
    <col min="3072" max="3072" width="20.6328125" style="267" customWidth="1"/>
    <col min="3073" max="3073" width="22.54296875" style="267" customWidth="1"/>
    <col min="3074" max="3074" width="10.36328125" style="267" customWidth="1"/>
    <col min="3075" max="3076" width="18.6328125" style="267" customWidth="1"/>
    <col min="3077" max="3320" width="8.90625" style="267"/>
    <col min="3321" max="3321" width="6.08984375" style="267" customWidth="1"/>
    <col min="3322" max="3322" width="42.90625" style="267" customWidth="1"/>
    <col min="3323" max="3325" width="0" style="267" hidden="1" customWidth="1"/>
    <col min="3326" max="3326" width="14.36328125" style="267" customWidth="1"/>
    <col min="3327" max="3327" width="26.453125" style="267" customWidth="1"/>
    <col min="3328" max="3328" width="20.6328125" style="267" customWidth="1"/>
    <col min="3329" max="3329" width="22.54296875" style="267" customWidth="1"/>
    <col min="3330" max="3330" width="10.36328125" style="267" customWidth="1"/>
    <col min="3331" max="3332" width="18.6328125" style="267" customWidth="1"/>
    <col min="3333" max="3576" width="8.90625" style="267"/>
    <col min="3577" max="3577" width="6.08984375" style="267" customWidth="1"/>
    <col min="3578" max="3578" width="42.90625" style="267" customWidth="1"/>
    <col min="3579" max="3581" width="0" style="267" hidden="1" customWidth="1"/>
    <col min="3582" max="3582" width="14.36328125" style="267" customWidth="1"/>
    <col min="3583" max="3583" width="26.453125" style="267" customWidth="1"/>
    <col min="3584" max="3584" width="20.6328125" style="267" customWidth="1"/>
    <col min="3585" max="3585" width="22.54296875" style="267" customWidth="1"/>
    <col min="3586" max="3586" width="10.36328125" style="267" customWidth="1"/>
    <col min="3587" max="3588" width="18.6328125" style="267" customWidth="1"/>
    <col min="3589" max="3832" width="8.90625" style="267"/>
    <col min="3833" max="3833" width="6.08984375" style="267" customWidth="1"/>
    <col min="3834" max="3834" width="42.90625" style="267" customWidth="1"/>
    <col min="3835" max="3837" width="0" style="267" hidden="1" customWidth="1"/>
    <col min="3838" max="3838" width="14.36328125" style="267" customWidth="1"/>
    <col min="3839" max="3839" width="26.453125" style="267" customWidth="1"/>
    <col min="3840" max="3840" width="20.6328125" style="267" customWidth="1"/>
    <col min="3841" max="3841" width="22.54296875" style="267" customWidth="1"/>
    <col min="3842" max="3842" width="10.36328125" style="267" customWidth="1"/>
    <col min="3843" max="3844" width="18.6328125" style="267" customWidth="1"/>
    <col min="3845" max="4088" width="8.90625" style="267"/>
    <col min="4089" max="4089" width="6.08984375" style="267" customWidth="1"/>
    <col min="4090" max="4090" width="42.90625" style="267" customWidth="1"/>
    <col min="4091" max="4093" width="0" style="267" hidden="1" customWidth="1"/>
    <col min="4094" max="4094" width="14.36328125" style="267" customWidth="1"/>
    <col min="4095" max="4095" width="26.453125" style="267" customWidth="1"/>
    <col min="4096" max="4096" width="20.6328125" style="267" customWidth="1"/>
    <col min="4097" max="4097" width="22.54296875" style="267" customWidth="1"/>
    <col min="4098" max="4098" width="10.36328125" style="267" customWidth="1"/>
    <col min="4099" max="4100" width="18.6328125" style="267" customWidth="1"/>
    <col min="4101" max="4344" width="8.90625" style="267"/>
    <col min="4345" max="4345" width="6.08984375" style="267" customWidth="1"/>
    <col min="4346" max="4346" width="42.90625" style="267" customWidth="1"/>
    <col min="4347" max="4349" width="0" style="267" hidden="1" customWidth="1"/>
    <col min="4350" max="4350" width="14.36328125" style="267" customWidth="1"/>
    <col min="4351" max="4351" width="26.453125" style="267" customWidth="1"/>
    <col min="4352" max="4352" width="20.6328125" style="267" customWidth="1"/>
    <col min="4353" max="4353" width="22.54296875" style="267" customWidth="1"/>
    <col min="4354" max="4354" width="10.36328125" style="267" customWidth="1"/>
    <col min="4355" max="4356" width="18.6328125" style="267" customWidth="1"/>
    <col min="4357" max="4600" width="8.90625" style="267"/>
    <col min="4601" max="4601" width="6.08984375" style="267" customWidth="1"/>
    <col min="4602" max="4602" width="42.90625" style="267" customWidth="1"/>
    <col min="4603" max="4605" width="0" style="267" hidden="1" customWidth="1"/>
    <col min="4606" max="4606" width="14.36328125" style="267" customWidth="1"/>
    <col min="4607" max="4607" width="26.453125" style="267" customWidth="1"/>
    <col min="4608" max="4608" width="20.6328125" style="267" customWidth="1"/>
    <col min="4609" max="4609" width="22.54296875" style="267" customWidth="1"/>
    <col min="4610" max="4610" width="10.36328125" style="267" customWidth="1"/>
    <col min="4611" max="4612" width="18.6328125" style="267" customWidth="1"/>
    <col min="4613" max="4856" width="8.90625" style="267"/>
    <col min="4857" max="4857" width="6.08984375" style="267" customWidth="1"/>
    <col min="4858" max="4858" width="42.90625" style="267" customWidth="1"/>
    <col min="4859" max="4861" width="0" style="267" hidden="1" customWidth="1"/>
    <col min="4862" max="4862" width="14.36328125" style="267" customWidth="1"/>
    <col min="4863" max="4863" width="26.453125" style="267" customWidth="1"/>
    <col min="4864" max="4864" width="20.6328125" style="267" customWidth="1"/>
    <col min="4865" max="4865" width="22.54296875" style="267" customWidth="1"/>
    <col min="4866" max="4866" width="10.36328125" style="267" customWidth="1"/>
    <col min="4867" max="4868" width="18.6328125" style="267" customWidth="1"/>
    <col min="4869" max="5112" width="8.90625" style="267"/>
    <col min="5113" max="5113" width="6.08984375" style="267" customWidth="1"/>
    <col min="5114" max="5114" width="42.90625" style="267" customWidth="1"/>
    <col min="5115" max="5117" width="0" style="267" hidden="1" customWidth="1"/>
    <col min="5118" max="5118" width="14.36328125" style="267" customWidth="1"/>
    <col min="5119" max="5119" width="26.453125" style="267" customWidth="1"/>
    <col min="5120" max="5120" width="20.6328125" style="267" customWidth="1"/>
    <col min="5121" max="5121" width="22.54296875" style="267" customWidth="1"/>
    <col min="5122" max="5122" width="10.36328125" style="267" customWidth="1"/>
    <col min="5123" max="5124" width="18.6328125" style="267" customWidth="1"/>
    <col min="5125" max="5368" width="8.90625" style="267"/>
    <col min="5369" max="5369" width="6.08984375" style="267" customWidth="1"/>
    <col min="5370" max="5370" width="42.90625" style="267" customWidth="1"/>
    <col min="5371" max="5373" width="0" style="267" hidden="1" customWidth="1"/>
    <col min="5374" max="5374" width="14.36328125" style="267" customWidth="1"/>
    <col min="5375" max="5375" width="26.453125" style="267" customWidth="1"/>
    <col min="5376" max="5376" width="20.6328125" style="267" customWidth="1"/>
    <col min="5377" max="5377" width="22.54296875" style="267" customWidth="1"/>
    <col min="5378" max="5378" width="10.36328125" style="267" customWidth="1"/>
    <col min="5379" max="5380" width="18.6328125" style="267" customWidth="1"/>
    <col min="5381" max="5624" width="8.90625" style="267"/>
    <col min="5625" max="5625" width="6.08984375" style="267" customWidth="1"/>
    <col min="5626" max="5626" width="42.90625" style="267" customWidth="1"/>
    <col min="5627" max="5629" width="0" style="267" hidden="1" customWidth="1"/>
    <col min="5630" max="5630" width="14.36328125" style="267" customWidth="1"/>
    <col min="5631" max="5631" width="26.453125" style="267" customWidth="1"/>
    <col min="5632" max="5632" width="20.6328125" style="267" customWidth="1"/>
    <col min="5633" max="5633" width="22.54296875" style="267" customWidth="1"/>
    <col min="5634" max="5634" width="10.36328125" style="267" customWidth="1"/>
    <col min="5635" max="5636" width="18.6328125" style="267" customWidth="1"/>
    <col min="5637" max="5880" width="8.90625" style="267"/>
    <col min="5881" max="5881" width="6.08984375" style="267" customWidth="1"/>
    <col min="5882" max="5882" width="42.90625" style="267" customWidth="1"/>
    <col min="5883" max="5885" width="0" style="267" hidden="1" customWidth="1"/>
    <col min="5886" max="5886" width="14.36328125" style="267" customWidth="1"/>
    <col min="5887" max="5887" width="26.453125" style="267" customWidth="1"/>
    <col min="5888" max="5888" width="20.6328125" style="267" customWidth="1"/>
    <col min="5889" max="5889" width="22.54296875" style="267" customWidth="1"/>
    <col min="5890" max="5890" width="10.36328125" style="267" customWidth="1"/>
    <col min="5891" max="5892" width="18.6328125" style="267" customWidth="1"/>
    <col min="5893" max="6136" width="8.90625" style="267"/>
    <col min="6137" max="6137" width="6.08984375" style="267" customWidth="1"/>
    <col min="6138" max="6138" width="42.90625" style="267" customWidth="1"/>
    <col min="6139" max="6141" width="0" style="267" hidden="1" customWidth="1"/>
    <col min="6142" max="6142" width="14.36328125" style="267" customWidth="1"/>
    <col min="6143" max="6143" width="26.453125" style="267" customWidth="1"/>
    <col min="6144" max="6144" width="20.6328125" style="267" customWidth="1"/>
    <col min="6145" max="6145" width="22.54296875" style="267" customWidth="1"/>
    <col min="6146" max="6146" width="10.36328125" style="267" customWidth="1"/>
    <col min="6147" max="6148" width="18.6328125" style="267" customWidth="1"/>
    <col min="6149" max="6392" width="8.90625" style="267"/>
    <col min="6393" max="6393" width="6.08984375" style="267" customWidth="1"/>
    <col min="6394" max="6394" width="42.90625" style="267" customWidth="1"/>
    <col min="6395" max="6397" width="0" style="267" hidden="1" customWidth="1"/>
    <col min="6398" max="6398" width="14.36328125" style="267" customWidth="1"/>
    <col min="6399" max="6399" width="26.453125" style="267" customWidth="1"/>
    <col min="6400" max="6400" width="20.6328125" style="267" customWidth="1"/>
    <col min="6401" max="6401" width="22.54296875" style="267" customWidth="1"/>
    <col min="6402" max="6402" width="10.36328125" style="267" customWidth="1"/>
    <col min="6403" max="6404" width="18.6328125" style="267" customWidth="1"/>
    <col min="6405" max="6648" width="8.90625" style="267"/>
    <col min="6649" max="6649" width="6.08984375" style="267" customWidth="1"/>
    <col min="6650" max="6650" width="42.90625" style="267" customWidth="1"/>
    <col min="6651" max="6653" width="0" style="267" hidden="1" customWidth="1"/>
    <col min="6654" max="6654" width="14.36328125" style="267" customWidth="1"/>
    <col min="6655" max="6655" width="26.453125" style="267" customWidth="1"/>
    <col min="6656" max="6656" width="20.6328125" style="267" customWidth="1"/>
    <col min="6657" max="6657" width="22.54296875" style="267" customWidth="1"/>
    <col min="6658" max="6658" width="10.36328125" style="267" customWidth="1"/>
    <col min="6659" max="6660" width="18.6328125" style="267" customWidth="1"/>
    <col min="6661" max="6904" width="8.90625" style="267"/>
    <col min="6905" max="6905" width="6.08984375" style="267" customWidth="1"/>
    <col min="6906" max="6906" width="42.90625" style="267" customWidth="1"/>
    <col min="6907" max="6909" width="0" style="267" hidden="1" customWidth="1"/>
    <col min="6910" max="6910" width="14.36328125" style="267" customWidth="1"/>
    <col min="6911" max="6911" width="26.453125" style="267" customWidth="1"/>
    <col min="6912" max="6912" width="20.6328125" style="267" customWidth="1"/>
    <col min="6913" max="6913" width="22.54296875" style="267" customWidth="1"/>
    <col min="6914" max="6914" width="10.36328125" style="267" customWidth="1"/>
    <col min="6915" max="6916" width="18.6328125" style="267" customWidth="1"/>
    <col min="6917" max="7160" width="8.90625" style="267"/>
    <col min="7161" max="7161" width="6.08984375" style="267" customWidth="1"/>
    <col min="7162" max="7162" width="42.90625" style="267" customWidth="1"/>
    <col min="7163" max="7165" width="0" style="267" hidden="1" customWidth="1"/>
    <col min="7166" max="7166" width="14.36328125" style="267" customWidth="1"/>
    <col min="7167" max="7167" width="26.453125" style="267" customWidth="1"/>
    <col min="7168" max="7168" width="20.6328125" style="267" customWidth="1"/>
    <col min="7169" max="7169" width="22.54296875" style="267" customWidth="1"/>
    <col min="7170" max="7170" width="10.36328125" style="267" customWidth="1"/>
    <col min="7171" max="7172" width="18.6328125" style="267" customWidth="1"/>
    <col min="7173" max="7416" width="8.90625" style="267"/>
    <col min="7417" max="7417" width="6.08984375" style="267" customWidth="1"/>
    <col min="7418" max="7418" width="42.90625" style="267" customWidth="1"/>
    <col min="7419" max="7421" width="0" style="267" hidden="1" customWidth="1"/>
    <col min="7422" max="7422" width="14.36328125" style="267" customWidth="1"/>
    <col min="7423" max="7423" width="26.453125" style="267" customWidth="1"/>
    <col min="7424" max="7424" width="20.6328125" style="267" customWidth="1"/>
    <col min="7425" max="7425" width="22.54296875" style="267" customWidth="1"/>
    <col min="7426" max="7426" width="10.36328125" style="267" customWidth="1"/>
    <col min="7427" max="7428" width="18.6328125" style="267" customWidth="1"/>
    <col min="7429" max="7672" width="8.90625" style="267"/>
    <col min="7673" max="7673" width="6.08984375" style="267" customWidth="1"/>
    <col min="7674" max="7674" width="42.90625" style="267" customWidth="1"/>
    <col min="7675" max="7677" width="0" style="267" hidden="1" customWidth="1"/>
    <col min="7678" max="7678" width="14.36328125" style="267" customWidth="1"/>
    <col min="7679" max="7679" width="26.453125" style="267" customWidth="1"/>
    <col min="7680" max="7680" width="20.6328125" style="267" customWidth="1"/>
    <col min="7681" max="7681" width="22.54296875" style="267" customWidth="1"/>
    <col min="7682" max="7682" width="10.36328125" style="267" customWidth="1"/>
    <col min="7683" max="7684" width="18.6328125" style="267" customWidth="1"/>
    <col min="7685" max="7928" width="8.90625" style="267"/>
    <col min="7929" max="7929" width="6.08984375" style="267" customWidth="1"/>
    <col min="7930" max="7930" width="42.90625" style="267" customWidth="1"/>
    <col min="7931" max="7933" width="0" style="267" hidden="1" customWidth="1"/>
    <col min="7934" max="7934" width="14.36328125" style="267" customWidth="1"/>
    <col min="7935" max="7935" width="26.453125" style="267" customWidth="1"/>
    <col min="7936" max="7936" width="20.6328125" style="267" customWidth="1"/>
    <col min="7937" max="7937" width="22.54296875" style="267" customWidth="1"/>
    <col min="7938" max="7938" width="10.36328125" style="267" customWidth="1"/>
    <col min="7939" max="7940" width="18.6328125" style="267" customWidth="1"/>
    <col min="7941" max="8184" width="8.90625" style="267"/>
    <col min="8185" max="8185" width="6.08984375" style="267" customWidth="1"/>
    <col min="8186" max="8186" width="42.90625" style="267" customWidth="1"/>
    <col min="8187" max="8189" width="0" style="267" hidden="1" customWidth="1"/>
    <col min="8190" max="8190" width="14.36328125" style="267" customWidth="1"/>
    <col min="8191" max="8191" width="26.453125" style="267" customWidth="1"/>
    <col min="8192" max="8192" width="20.6328125" style="267" customWidth="1"/>
    <col min="8193" max="8193" width="22.54296875" style="267" customWidth="1"/>
    <col min="8194" max="8194" width="10.36328125" style="267" customWidth="1"/>
    <col min="8195" max="8196" width="18.6328125" style="267" customWidth="1"/>
    <col min="8197" max="8440" width="8.90625" style="267"/>
    <col min="8441" max="8441" width="6.08984375" style="267" customWidth="1"/>
    <col min="8442" max="8442" width="42.90625" style="267" customWidth="1"/>
    <col min="8443" max="8445" width="0" style="267" hidden="1" customWidth="1"/>
    <col min="8446" max="8446" width="14.36328125" style="267" customWidth="1"/>
    <col min="8447" max="8447" width="26.453125" style="267" customWidth="1"/>
    <col min="8448" max="8448" width="20.6328125" style="267" customWidth="1"/>
    <col min="8449" max="8449" width="22.54296875" style="267" customWidth="1"/>
    <col min="8450" max="8450" width="10.36328125" style="267" customWidth="1"/>
    <col min="8451" max="8452" width="18.6328125" style="267" customWidth="1"/>
    <col min="8453" max="8696" width="8.90625" style="267"/>
    <col min="8697" max="8697" width="6.08984375" style="267" customWidth="1"/>
    <col min="8698" max="8698" width="42.90625" style="267" customWidth="1"/>
    <col min="8699" max="8701" width="0" style="267" hidden="1" customWidth="1"/>
    <col min="8702" max="8702" width="14.36328125" style="267" customWidth="1"/>
    <col min="8703" max="8703" width="26.453125" style="267" customWidth="1"/>
    <col min="8704" max="8704" width="20.6328125" style="267" customWidth="1"/>
    <col min="8705" max="8705" width="22.54296875" style="267" customWidth="1"/>
    <col min="8706" max="8706" width="10.36328125" style="267" customWidth="1"/>
    <col min="8707" max="8708" width="18.6328125" style="267" customWidth="1"/>
    <col min="8709" max="8952" width="8.90625" style="267"/>
    <col min="8953" max="8953" width="6.08984375" style="267" customWidth="1"/>
    <col min="8954" max="8954" width="42.90625" style="267" customWidth="1"/>
    <col min="8955" max="8957" width="0" style="267" hidden="1" customWidth="1"/>
    <col min="8958" max="8958" width="14.36328125" style="267" customWidth="1"/>
    <col min="8959" max="8959" width="26.453125" style="267" customWidth="1"/>
    <col min="8960" max="8960" width="20.6328125" style="267" customWidth="1"/>
    <col min="8961" max="8961" width="22.54296875" style="267" customWidth="1"/>
    <col min="8962" max="8962" width="10.36328125" style="267" customWidth="1"/>
    <col min="8963" max="8964" width="18.6328125" style="267" customWidth="1"/>
    <col min="8965" max="9208" width="8.90625" style="267"/>
    <col min="9209" max="9209" width="6.08984375" style="267" customWidth="1"/>
    <col min="9210" max="9210" width="42.90625" style="267" customWidth="1"/>
    <col min="9211" max="9213" width="0" style="267" hidden="1" customWidth="1"/>
    <col min="9214" max="9214" width="14.36328125" style="267" customWidth="1"/>
    <col min="9215" max="9215" width="26.453125" style="267" customWidth="1"/>
    <col min="9216" max="9216" width="20.6328125" style="267" customWidth="1"/>
    <col min="9217" max="9217" width="22.54296875" style="267" customWidth="1"/>
    <col min="9218" max="9218" width="10.36328125" style="267" customWidth="1"/>
    <col min="9219" max="9220" width="18.6328125" style="267" customWidth="1"/>
    <col min="9221" max="9464" width="8.90625" style="267"/>
    <col min="9465" max="9465" width="6.08984375" style="267" customWidth="1"/>
    <col min="9466" max="9466" width="42.90625" style="267" customWidth="1"/>
    <col min="9467" max="9469" width="0" style="267" hidden="1" customWidth="1"/>
    <col min="9470" max="9470" width="14.36328125" style="267" customWidth="1"/>
    <col min="9471" max="9471" width="26.453125" style="267" customWidth="1"/>
    <col min="9472" max="9472" width="20.6328125" style="267" customWidth="1"/>
    <col min="9473" max="9473" width="22.54296875" style="267" customWidth="1"/>
    <col min="9474" max="9474" width="10.36328125" style="267" customWidth="1"/>
    <col min="9475" max="9476" width="18.6328125" style="267" customWidth="1"/>
    <col min="9477" max="9720" width="8.90625" style="267"/>
    <col min="9721" max="9721" width="6.08984375" style="267" customWidth="1"/>
    <col min="9722" max="9722" width="42.90625" style="267" customWidth="1"/>
    <col min="9723" max="9725" width="0" style="267" hidden="1" customWidth="1"/>
    <col min="9726" max="9726" width="14.36328125" style="267" customWidth="1"/>
    <col min="9727" max="9727" width="26.453125" style="267" customWidth="1"/>
    <col min="9728" max="9728" width="20.6328125" style="267" customWidth="1"/>
    <col min="9729" max="9729" width="22.54296875" style="267" customWidth="1"/>
    <col min="9730" max="9730" width="10.36328125" style="267" customWidth="1"/>
    <col min="9731" max="9732" width="18.6328125" style="267" customWidth="1"/>
    <col min="9733" max="9976" width="8.90625" style="267"/>
    <col min="9977" max="9977" width="6.08984375" style="267" customWidth="1"/>
    <col min="9978" max="9978" width="42.90625" style="267" customWidth="1"/>
    <col min="9979" max="9981" width="0" style="267" hidden="1" customWidth="1"/>
    <col min="9982" max="9982" width="14.36328125" style="267" customWidth="1"/>
    <col min="9983" max="9983" width="26.453125" style="267" customWidth="1"/>
    <col min="9984" max="9984" width="20.6328125" style="267" customWidth="1"/>
    <col min="9985" max="9985" width="22.54296875" style="267" customWidth="1"/>
    <col min="9986" max="9986" width="10.36328125" style="267" customWidth="1"/>
    <col min="9987" max="9988" width="18.6328125" style="267" customWidth="1"/>
    <col min="9989" max="10232" width="8.90625" style="267"/>
    <col min="10233" max="10233" width="6.08984375" style="267" customWidth="1"/>
    <col min="10234" max="10234" width="42.90625" style="267" customWidth="1"/>
    <col min="10235" max="10237" width="0" style="267" hidden="1" customWidth="1"/>
    <col min="10238" max="10238" width="14.36328125" style="267" customWidth="1"/>
    <col min="10239" max="10239" width="26.453125" style="267" customWidth="1"/>
    <col min="10240" max="10240" width="20.6328125" style="267" customWidth="1"/>
    <col min="10241" max="10241" width="22.54296875" style="267" customWidth="1"/>
    <col min="10242" max="10242" width="10.36328125" style="267" customWidth="1"/>
    <col min="10243" max="10244" width="18.6328125" style="267" customWidth="1"/>
    <col min="10245" max="10488" width="8.90625" style="267"/>
    <col min="10489" max="10489" width="6.08984375" style="267" customWidth="1"/>
    <col min="10490" max="10490" width="42.90625" style="267" customWidth="1"/>
    <col min="10491" max="10493" width="0" style="267" hidden="1" customWidth="1"/>
    <col min="10494" max="10494" width="14.36328125" style="267" customWidth="1"/>
    <col min="10495" max="10495" width="26.453125" style="267" customWidth="1"/>
    <col min="10496" max="10496" width="20.6328125" style="267" customWidth="1"/>
    <col min="10497" max="10497" width="22.54296875" style="267" customWidth="1"/>
    <col min="10498" max="10498" width="10.36328125" style="267" customWidth="1"/>
    <col min="10499" max="10500" width="18.6328125" style="267" customWidth="1"/>
    <col min="10501" max="10744" width="8.90625" style="267"/>
    <col min="10745" max="10745" width="6.08984375" style="267" customWidth="1"/>
    <col min="10746" max="10746" width="42.90625" style="267" customWidth="1"/>
    <col min="10747" max="10749" width="0" style="267" hidden="1" customWidth="1"/>
    <col min="10750" max="10750" width="14.36328125" style="267" customWidth="1"/>
    <col min="10751" max="10751" width="26.453125" style="267" customWidth="1"/>
    <col min="10752" max="10752" width="20.6328125" style="267" customWidth="1"/>
    <col min="10753" max="10753" width="22.54296875" style="267" customWidth="1"/>
    <col min="10754" max="10754" width="10.36328125" style="267" customWidth="1"/>
    <col min="10755" max="10756" width="18.6328125" style="267" customWidth="1"/>
    <col min="10757" max="11000" width="8.90625" style="267"/>
    <col min="11001" max="11001" width="6.08984375" style="267" customWidth="1"/>
    <col min="11002" max="11002" width="42.90625" style="267" customWidth="1"/>
    <col min="11003" max="11005" width="0" style="267" hidden="1" customWidth="1"/>
    <col min="11006" max="11006" width="14.36328125" style="267" customWidth="1"/>
    <col min="11007" max="11007" width="26.453125" style="267" customWidth="1"/>
    <col min="11008" max="11008" width="20.6328125" style="267" customWidth="1"/>
    <col min="11009" max="11009" width="22.54296875" style="267" customWidth="1"/>
    <col min="11010" max="11010" width="10.36328125" style="267" customWidth="1"/>
    <col min="11011" max="11012" width="18.6328125" style="267" customWidth="1"/>
    <col min="11013" max="11256" width="8.90625" style="267"/>
    <col min="11257" max="11257" width="6.08984375" style="267" customWidth="1"/>
    <col min="11258" max="11258" width="42.90625" style="267" customWidth="1"/>
    <col min="11259" max="11261" width="0" style="267" hidden="1" customWidth="1"/>
    <col min="11262" max="11262" width="14.36328125" style="267" customWidth="1"/>
    <col min="11263" max="11263" width="26.453125" style="267" customWidth="1"/>
    <col min="11264" max="11264" width="20.6328125" style="267" customWidth="1"/>
    <col min="11265" max="11265" width="22.54296875" style="267" customWidth="1"/>
    <col min="11266" max="11266" width="10.36328125" style="267" customWidth="1"/>
    <col min="11267" max="11268" width="18.6328125" style="267" customWidth="1"/>
    <col min="11269" max="11512" width="8.90625" style="267"/>
    <col min="11513" max="11513" width="6.08984375" style="267" customWidth="1"/>
    <col min="11514" max="11514" width="42.90625" style="267" customWidth="1"/>
    <col min="11515" max="11517" width="0" style="267" hidden="1" customWidth="1"/>
    <col min="11518" max="11518" width="14.36328125" style="267" customWidth="1"/>
    <col min="11519" max="11519" width="26.453125" style="267" customWidth="1"/>
    <col min="11520" max="11520" width="20.6328125" style="267" customWidth="1"/>
    <col min="11521" max="11521" width="22.54296875" style="267" customWidth="1"/>
    <col min="11522" max="11522" width="10.36328125" style="267" customWidth="1"/>
    <col min="11523" max="11524" width="18.6328125" style="267" customWidth="1"/>
    <col min="11525" max="11768" width="8.90625" style="267"/>
    <col min="11769" max="11769" width="6.08984375" style="267" customWidth="1"/>
    <col min="11770" max="11770" width="42.90625" style="267" customWidth="1"/>
    <col min="11771" max="11773" width="0" style="267" hidden="1" customWidth="1"/>
    <col min="11774" max="11774" width="14.36328125" style="267" customWidth="1"/>
    <col min="11775" max="11775" width="26.453125" style="267" customWidth="1"/>
    <col min="11776" max="11776" width="20.6328125" style="267" customWidth="1"/>
    <col min="11777" max="11777" width="22.54296875" style="267" customWidth="1"/>
    <col min="11778" max="11778" width="10.36328125" style="267" customWidth="1"/>
    <col min="11779" max="11780" width="18.6328125" style="267" customWidth="1"/>
    <col min="11781" max="12024" width="8.90625" style="267"/>
    <col min="12025" max="12025" width="6.08984375" style="267" customWidth="1"/>
    <col min="12026" max="12026" width="42.90625" style="267" customWidth="1"/>
    <col min="12027" max="12029" width="0" style="267" hidden="1" customWidth="1"/>
    <col min="12030" max="12030" width="14.36328125" style="267" customWidth="1"/>
    <col min="12031" max="12031" width="26.453125" style="267" customWidth="1"/>
    <col min="12032" max="12032" width="20.6328125" style="267" customWidth="1"/>
    <col min="12033" max="12033" width="22.54296875" style="267" customWidth="1"/>
    <col min="12034" max="12034" width="10.36328125" style="267" customWidth="1"/>
    <col min="12035" max="12036" width="18.6328125" style="267" customWidth="1"/>
    <col min="12037" max="12280" width="8.90625" style="267"/>
    <col min="12281" max="12281" width="6.08984375" style="267" customWidth="1"/>
    <col min="12282" max="12282" width="42.90625" style="267" customWidth="1"/>
    <col min="12283" max="12285" width="0" style="267" hidden="1" customWidth="1"/>
    <col min="12286" max="12286" width="14.36328125" style="267" customWidth="1"/>
    <col min="12287" max="12287" width="26.453125" style="267" customWidth="1"/>
    <col min="12288" max="12288" width="20.6328125" style="267" customWidth="1"/>
    <col min="12289" max="12289" width="22.54296875" style="267" customWidth="1"/>
    <col min="12290" max="12290" width="10.36328125" style="267" customWidth="1"/>
    <col min="12291" max="12292" width="18.6328125" style="267" customWidth="1"/>
    <col min="12293" max="12536" width="8.90625" style="267"/>
    <col min="12537" max="12537" width="6.08984375" style="267" customWidth="1"/>
    <col min="12538" max="12538" width="42.90625" style="267" customWidth="1"/>
    <col min="12539" max="12541" width="0" style="267" hidden="1" customWidth="1"/>
    <col min="12542" max="12542" width="14.36328125" style="267" customWidth="1"/>
    <col min="12543" max="12543" width="26.453125" style="267" customWidth="1"/>
    <col min="12544" max="12544" width="20.6328125" style="267" customWidth="1"/>
    <col min="12545" max="12545" width="22.54296875" style="267" customWidth="1"/>
    <col min="12546" max="12546" width="10.36328125" style="267" customWidth="1"/>
    <col min="12547" max="12548" width="18.6328125" style="267" customWidth="1"/>
    <col min="12549" max="12792" width="8.90625" style="267"/>
    <col min="12793" max="12793" width="6.08984375" style="267" customWidth="1"/>
    <col min="12794" max="12794" width="42.90625" style="267" customWidth="1"/>
    <col min="12795" max="12797" width="0" style="267" hidden="1" customWidth="1"/>
    <col min="12798" max="12798" width="14.36328125" style="267" customWidth="1"/>
    <col min="12799" max="12799" width="26.453125" style="267" customWidth="1"/>
    <col min="12800" max="12800" width="20.6328125" style="267" customWidth="1"/>
    <col min="12801" max="12801" width="22.54296875" style="267" customWidth="1"/>
    <col min="12802" max="12802" width="10.36328125" style="267" customWidth="1"/>
    <col min="12803" max="12804" width="18.6328125" style="267" customWidth="1"/>
    <col min="12805" max="13048" width="8.90625" style="267"/>
    <col min="13049" max="13049" width="6.08984375" style="267" customWidth="1"/>
    <col min="13050" max="13050" width="42.90625" style="267" customWidth="1"/>
    <col min="13051" max="13053" width="0" style="267" hidden="1" customWidth="1"/>
    <col min="13054" max="13054" width="14.36328125" style="267" customWidth="1"/>
    <col min="13055" max="13055" width="26.453125" style="267" customWidth="1"/>
    <col min="13056" max="13056" width="20.6328125" style="267" customWidth="1"/>
    <col min="13057" max="13057" width="22.54296875" style="267" customWidth="1"/>
    <col min="13058" max="13058" width="10.36328125" style="267" customWidth="1"/>
    <col min="13059" max="13060" width="18.6328125" style="267" customWidth="1"/>
    <col min="13061" max="13304" width="8.90625" style="267"/>
    <col min="13305" max="13305" width="6.08984375" style="267" customWidth="1"/>
    <col min="13306" max="13306" width="42.90625" style="267" customWidth="1"/>
    <col min="13307" max="13309" width="0" style="267" hidden="1" customWidth="1"/>
    <col min="13310" max="13310" width="14.36328125" style="267" customWidth="1"/>
    <col min="13311" max="13311" width="26.453125" style="267" customWidth="1"/>
    <col min="13312" max="13312" width="20.6328125" style="267" customWidth="1"/>
    <col min="13313" max="13313" width="22.54296875" style="267" customWidth="1"/>
    <col min="13314" max="13314" width="10.36328125" style="267" customWidth="1"/>
    <col min="13315" max="13316" width="18.6328125" style="267" customWidth="1"/>
    <col min="13317" max="13560" width="8.90625" style="267"/>
    <col min="13561" max="13561" width="6.08984375" style="267" customWidth="1"/>
    <col min="13562" max="13562" width="42.90625" style="267" customWidth="1"/>
    <col min="13563" max="13565" width="0" style="267" hidden="1" customWidth="1"/>
    <col min="13566" max="13566" width="14.36328125" style="267" customWidth="1"/>
    <col min="13567" max="13567" width="26.453125" style="267" customWidth="1"/>
    <col min="13568" max="13568" width="20.6328125" style="267" customWidth="1"/>
    <col min="13569" max="13569" width="22.54296875" style="267" customWidth="1"/>
    <col min="13570" max="13570" width="10.36328125" style="267" customWidth="1"/>
    <col min="13571" max="13572" width="18.6328125" style="267" customWidth="1"/>
    <col min="13573" max="13816" width="8.90625" style="267"/>
    <col min="13817" max="13817" width="6.08984375" style="267" customWidth="1"/>
    <col min="13818" max="13818" width="42.90625" style="267" customWidth="1"/>
    <col min="13819" max="13821" width="0" style="267" hidden="1" customWidth="1"/>
    <col min="13822" max="13822" width="14.36328125" style="267" customWidth="1"/>
    <col min="13823" max="13823" width="26.453125" style="267" customWidth="1"/>
    <col min="13824" max="13824" width="20.6328125" style="267" customWidth="1"/>
    <col min="13825" max="13825" width="22.54296875" style="267" customWidth="1"/>
    <col min="13826" max="13826" width="10.36328125" style="267" customWidth="1"/>
    <col min="13827" max="13828" width="18.6328125" style="267" customWidth="1"/>
    <col min="13829" max="14072" width="8.90625" style="267"/>
    <col min="14073" max="14073" width="6.08984375" style="267" customWidth="1"/>
    <col min="14074" max="14074" width="42.90625" style="267" customWidth="1"/>
    <col min="14075" max="14077" width="0" style="267" hidden="1" customWidth="1"/>
    <col min="14078" max="14078" width="14.36328125" style="267" customWidth="1"/>
    <col min="14079" max="14079" width="26.453125" style="267" customWidth="1"/>
    <col min="14080" max="14080" width="20.6328125" style="267" customWidth="1"/>
    <col min="14081" max="14081" width="22.54296875" style="267" customWidth="1"/>
    <col min="14082" max="14082" width="10.36328125" style="267" customWidth="1"/>
    <col min="14083" max="14084" width="18.6328125" style="267" customWidth="1"/>
    <col min="14085" max="14328" width="8.90625" style="267"/>
    <col min="14329" max="14329" width="6.08984375" style="267" customWidth="1"/>
    <col min="14330" max="14330" width="42.90625" style="267" customWidth="1"/>
    <col min="14331" max="14333" width="0" style="267" hidden="1" customWidth="1"/>
    <col min="14334" max="14334" width="14.36328125" style="267" customWidth="1"/>
    <col min="14335" max="14335" width="26.453125" style="267" customWidth="1"/>
    <col min="14336" max="14336" width="20.6328125" style="267" customWidth="1"/>
    <col min="14337" max="14337" width="22.54296875" style="267" customWidth="1"/>
    <col min="14338" max="14338" width="10.36328125" style="267" customWidth="1"/>
    <col min="14339" max="14340" width="18.6328125" style="267" customWidth="1"/>
    <col min="14341" max="14584" width="8.90625" style="267"/>
    <col min="14585" max="14585" width="6.08984375" style="267" customWidth="1"/>
    <col min="14586" max="14586" width="42.90625" style="267" customWidth="1"/>
    <col min="14587" max="14589" width="0" style="267" hidden="1" customWidth="1"/>
    <col min="14590" max="14590" width="14.36328125" style="267" customWidth="1"/>
    <col min="14591" max="14591" width="26.453125" style="267" customWidth="1"/>
    <col min="14592" max="14592" width="20.6328125" style="267" customWidth="1"/>
    <col min="14593" max="14593" width="22.54296875" style="267" customWidth="1"/>
    <col min="14594" max="14594" width="10.36328125" style="267" customWidth="1"/>
    <col min="14595" max="14596" width="18.6328125" style="267" customWidth="1"/>
    <col min="14597" max="14840" width="8.90625" style="267"/>
    <col min="14841" max="14841" width="6.08984375" style="267" customWidth="1"/>
    <col min="14842" max="14842" width="42.90625" style="267" customWidth="1"/>
    <col min="14843" max="14845" width="0" style="267" hidden="1" customWidth="1"/>
    <col min="14846" max="14846" width="14.36328125" style="267" customWidth="1"/>
    <col min="14847" max="14847" width="26.453125" style="267" customWidth="1"/>
    <col min="14848" max="14848" width="20.6328125" style="267" customWidth="1"/>
    <col min="14849" max="14849" width="22.54296875" style="267" customWidth="1"/>
    <col min="14850" max="14850" width="10.36328125" style="267" customWidth="1"/>
    <col min="14851" max="14852" width="18.6328125" style="267" customWidth="1"/>
    <col min="14853" max="15096" width="8.90625" style="267"/>
    <col min="15097" max="15097" width="6.08984375" style="267" customWidth="1"/>
    <col min="15098" max="15098" width="42.90625" style="267" customWidth="1"/>
    <col min="15099" max="15101" width="0" style="267" hidden="1" customWidth="1"/>
    <col min="15102" max="15102" width="14.36328125" style="267" customWidth="1"/>
    <col min="15103" max="15103" width="26.453125" style="267" customWidth="1"/>
    <col min="15104" max="15104" width="20.6328125" style="267" customWidth="1"/>
    <col min="15105" max="15105" width="22.54296875" style="267" customWidth="1"/>
    <col min="15106" max="15106" width="10.36328125" style="267" customWidth="1"/>
    <col min="15107" max="15108" width="18.6328125" style="267" customWidth="1"/>
    <col min="15109" max="15352" width="8.90625" style="267"/>
    <col min="15353" max="15353" width="6.08984375" style="267" customWidth="1"/>
    <col min="15354" max="15354" width="42.90625" style="267" customWidth="1"/>
    <col min="15355" max="15357" width="0" style="267" hidden="1" customWidth="1"/>
    <col min="15358" max="15358" width="14.36328125" style="267" customWidth="1"/>
    <col min="15359" max="15359" width="26.453125" style="267" customWidth="1"/>
    <col min="15360" max="15360" width="20.6328125" style="267" customWidth="1"/>
    <col min="15361" max="15361" width="22.54296875" style="267" customWidth="1"/>
    <col min="15362" max="15362" width="10.36328125" style="267" customWidth="1"/>
    <col min="15363" max="15364" width="18.6328125" style="267" customWidth="1"/>
    <col min="15365" max="15608" width="8.90625" style="267"/>
    <col min="15609" max="15609" width="6.08984375" style="267" customWidth="1"/>
    <col min="15610" max="15610" width="42.90625" style="267" customWidth="1"/>
    <col min="15611" max="15613" width="0" style="267" hidden="1" customWidth="1"/>
    <col min="15614" max="15614" width="14.36328125" style="267" customWidth="1"/>
    <col min="15615" max="15615" width="26.453125" style="267" customWidth="1"/>
    <col min="15616" max="15616" width="20.6328125" style="267" customWidth="1"/>
    <col min="15617" max="15617" width="22.54296875" style="267" customWidth="1"/>
    <col min="15618" max="15618" width="10.36328125" style="267" customWidth="1"/>
    <col min="15619" max="15620" width="18.6328125" style="267" customWidth="1"/>
    <col min="15621" max="15864" width="8.90625" style="267"/>
    <col min="15865" max="15865" width="6.08984375" style="267" customWidth="1"/>
    <col min="15866" max="15866" width="42.90625" style="267" customWidth="1"/>
    <col min="15867" max="15869" width="0" style="267" hidden="1" customWidth="1"/>
    <col min="15870" max="15870" width="14.36328125" style="267" customWidth="1"/>
    <col min="15871" max="15871" width="26.453125" style="267" customWidth="1"/>
    <col min="15872" max="15872" width="20.6328125" style="267" customWidth="1"/>
    <col min="15873" max="15873" width="22.54296875" style="267" customWidth="1"/>
    <col min="15874" max="15874" width="10.36328125" style="267" customWidth="1"/>
    <col min="15875" max="15876" width="18.6328125" style="267" customWidth="1"/>
    <col min="15877" max="16120" width="8.90625" style="267"/>
    <col min="16121" max="16121" width="6.08984375" style="267" customWidth="1"/>
    <col min="16122" max="16122" width="42.90625" style="267" customWidth="1"/>
    <col min="16123" max="16125" width="0" style="267" hidden="1" customWidth="1"/>
    <col min="16126" max="16126" width="14.36328125" style="267" customWidth="1"/>
    <col min="16127" max="16127" width="26.453125" style="267" customWidth="1"/>
    <col min="16128" max="16128" width="20.6328125" style="267" customWidth="1"/>
    <col min="16129" max="16129" width="22.54296875" style="267" customWidth="1"/>
    <col min="16130" max="16130" width="10.36328125" style="267" customWidth="1"/>
    <col min="16131" max="16132" width="18.6328125" style="267" customWidth="1"/>
    <col min="16133" max="16383" width="8.90625" style="267"/>
    <col min="16384" max="16384" width="8.90625" style="267" customWidth="1"/>
  </cols>
  <sheetData>
    <row r="1" spans="1:11" ht="7.5" customHeight="1" x14ac:dyDescent="0.35">
      <c r="A1" s="678"/>
      <c r="B1" s="678"/>
      <c r="C1" s="318"/>
    </row>
    <row r="2" spans="1:11" x14ac:dyDescent="0.35">
      <c r="A2" s="679" t="s">
        <v>674</v>
      </c>
      <c r="B2" s="679"/>
      <c r="C2" s="679"/>
      <c r="D2" s="679"/>
      <c r="E2" s="679"/>
      <c r="F2" s="679"/>
      <c r="G2" s="679"/>
      <c r="H2" s="679"/>
      <c r="I2" s="679"/>
    </row>
    <row r="3" spans="1:11" ht="18.649999999999999" customHeight="1" x14ac:dyDescent="0.35">
      <c r="A3" s="677" t="s">
        <v>656</v>
      </c>
      <c r="B3" s="677"/>
      <c r="C3" s="677"/>
      <c r="D3" s="677"/>
      <c r="E3" s="677"/>
      <c r="F3" s="677"/>
      <c r="G3" s="677"/>
      <c r="H3" s="677"/>
      <c r="I3" s="677"/>
    </row>
    <row r="4" spans="1:11" x14ac:dyDescent="0.35">
      <c r="A4" s="329"/>
      <c r="B4" s="330"/>
      <c r="C4" s="330"/>
      <c r="D4" s="680" t="s">
        <v>475</v>
      </c>
      <c r="E4" s="680"/>
      <c r="F4" s="680"/>
      <c r="G4" s="680"/>
      <c r="H4" s="680"/>
      <c r="I4" s="680"/>
    </row>
    <row r="5" spans="1:11" ht="32.25" customHeight="1" x14ac:dyDescent="0.35">
      <c r="A5" s="271" t="s">
        <v>16</v>
      </c>
      <c r="B5" s="271" t="s">
        <v>315</v>
      </c>
      <c r="C5" s="271" t="s">
        <v>541</v>
      </c>
      <c r="D5" s="271" t="s">
        <v>606</v>
      </c>
      <c r="E5" s="271"/>
      <c r="F5" s="271"/>
      <c r="G5" s="271"/>
      <c r="H5" s="271" t="s">
        <v>658</v>
      </c>
      <c r="I5" s="271" t="s">
        <v>22</v>
      </c>
    </row>
    <row r="6" spans="1:11" ht="16.5" customHeight="1" x14ac:dyDescent="0.35">
      <c r="A6" s="636" t="s">
        <v>8</v>
      </c>
      <c r="B6" s="332" t="s">
        <v>317</v>
      </c>
      <c r="C6" s="325" t="e">
        <f>C11+C17+#REF!+#REF!+#REF!+#REF!+#REF!</f>
        <v>#REF!</v>
      </c>
      <c r="D6" s="325" t="e">
        <f>D11+D17+#REF!+#REF!+#REF!+#REF!+#REF!</f>
        <v>#REF!</v>
      </c>
      <c r="E6" s="325"/>
      <c r="F6" s="325"/>
      <c r="G6" s="325"/>
      <c r="H6" s="325">
        <f>SUM(H7:H10)</f>
        <v>426310</v>
      </c>
      <c r="I6" s="635"/>
    </row>
    <row r="7" spans="1:11" ht="16.5" customHeight="1" x14ac:dyDescent="0.35">
      <c r="A7" s="672">
        <v>1</v>
      </c>
      <c r="B7" s="673" t="s">
        <v>657</v>
      </c>
      <c r="C7" s="632"/>
      <c r="D7" s="632"/>
      <c r="E7" s="632"/>
      <c r="F7" s="632"/>
      <c r="G7" s="632"/>
      <c r="H7" s="632">
        <v>3027</v>
      </c>
      <c r="I7" s="634"/>
    </row>
    <row r="8" spans="1:11" ht="16.5" customHeight="1" x14ac:dyDescent="0.35">
      <c r="A8" s="672">
        <v>2</v>
      </c>
      <c r="B8" s="673" t="s">
        <v>659</v>
      </c>
      <c r="C8" s="632"/>
      <c r="D8" s="632"/>
      <c r="E8" s="632"/>
      <c r="F8" s="632"/>
      <c r="G8" s="632"/>
      <c r="H8" s="632">
        <v>354884</v>
      </c>
      <c r="I8" s="634"/>
    </row>
    <row r="9" spans="1:11" ht="16.5" customHeight="1" x14ac:dyDescent="0.35">
      <c r="A9" s="672">
        <v>3</v>
      </c>
      <c r="B9" s="673" t="s">
        <v>661</v>
      </c>
      <c r="C9" s="632"/>
      <c r="D9" s="632"/>
      <c r="E9" s="632"/>
      <c r="F9" s="632"/>
      <c r="G9" s="632"/>
      <c r="H9" s="632">
        <v>27278</v>
      </c>
      <c r="I9" s="634"/>
    </row>
    <row r="10" spans="1:11" ht="16.5" customHeight="1" x14ac:dyDescent="0.35">
      <c r="A10" s="672">
        <v>4</v>
      </c>
      <c r="B10" s="673" t="s">
        <v>660</v>
      </c>
      <c r="C10" s="632"/>
      <c r="D10" s="632"/>
      <c r="E10" s="632"/>
      <c r="F10" s="632"/>
      <c r="G10" s="632"/>
      <c r="H10" s="632">
        <f>1858+29336+9927</f>
        <v>41121</v>
      </c>
      <c r="I10" s="634"/>
    </row>
    <row r="11" spans="1:11" ht="16.5" customHeight="1" x14ac:dyDescent="0.35">
      <c r="A11" s="637" t="s">
        <v>81</v>
      </c>
      <c r="B11" s="333" t="s">
        <v>355</v>
      </c>
      <c r="C11" s="296">
        <f>SUM(C12:C16)</f>
        <v>0</v>
      </c>
      <c r="D11" s="296">
        <f>SUM(D12:D16)</f>
        <v>0</v>
      </c>
      <c r="E11" s="296"/>
      <c r="F11" s="296"/>
      <c r="G11" s="296"/>
      <c r="H11" s="296">
        <f>SUM(H12:H19)</f>
        <v>343955.16133900004</v>
      </c>
      <c r="I11" s="635"/>
    </row>
    <row r="12" spans="1:11" ht="16.5" customHeight="1" x14ac:dyDescent="0.35">
      <c r="A12" s="283">
        <v>1</v>
      </c>
      <c r="B12" s="334" t="s">
        <v>662</v>
      </c>
      <c r="C12" s="648"/>
      <c r="D12" s="298"/>
      <c r="E12" s="298"/>
      <c r="F12" s="298"/>
      <c r="G12" s="298"/>
      <c r="H12" s="298">
        <v>84613</v>
      </c>
      <c r="I12" s="634"/>
      <c r="K12" s="674"/>
    </row>
    <row r="13" spans="1:11" ht="16.5" customHeight="1" x14ac:dyDescent="0.35">
      <c r="A13" s="283">
        <v>2</v>
      </c>
      <c r="B13" s="334" t="s">
        <v>663</v>
      </c>
      <c r="C13" s="648"/>
      <c r="D13" s="298"/>
      <c r="E13" s="298"/>
      <c r="F13" s="298"/>
      <c r="G13" s="298"/>
      <c r="H13" s="298">
        <v>63729</v>
      </c>
      <c r="I13" s="634"/>
      <c r="K13" s="674"/>
    </row>
    <row r="14" spans="1:11" ht="16.5" customHeight="1" x14ac:dyDescent="0.35">
      <c r="A14" s="283">
        <v>3</v>
      </c>
      <c r="B14" s="334" t="s">
        <v>377</v>
      </c>
      <c r="C14" s="648"/>
      <c r="D14" s="298"/>
      <c r="E14" s="298"/>
      <c r="F14" s="298"/>
      <c r="G14" s="298"/>
      <c r="H14" s="298">
        <f>'THỰC HIỆN-KH 2024'!J90+'THỰC HIỆN-KH 2024'!J91+'THỰC HIỆN-KH 2024'!J92+'THỰC HIỆN-KH 2024'!J93+'THỰC HIỆN-KH 2024'!J94+'THỰC HIỆN-KH 2024'!J95+'THỰC HIỆN-KH 2024'!J96</f>
        <v>26030.608885000001</v>
      </c>
      <c r="I14" s="634"/>
      <c r="K14" s="674"/>
    </row>
    <row r="15" spans="1:11" ht="37.5" customHeight="1" x14ac:dyDescent="0.35">
      <c r="A15" s="283">
        <v>4</v>
      </c>
      <c r="B15" s="334" t="s">
        <v>664</v>
      </c>
      <c r="C15" s="648"/>
      <c r="D15" s="298"/>
      <c r="E15" s="298"/>
      <c r="F15" s="298"/>
      <c r="G15" s="298"/>
      <c r="H15" s="298">
        <v>27094</v>
      </c>
      <c r="I15" s="634"/>
    </row>
    <row r="16" spans="1:11" ht="24" customHeight="1" x14ac:dyDescent="0.35">
      <c r="A16" s="283">
        <v>5</v>
      </c>
      <c r="B16" s="299" t="s">
        <v>665</v>
      </c>
      <c r="C16" s="649"/>
      <c r="D16" s="298"/>
      <c r="E16" s="298"/>
      <c r="F16" s="298"/>
      <c r="G16" s="298"/>
      <c r="H16" s="632">
        <v>23431.89</v>
      </c>
      <c r="I16" s="634"/>
    </row>
    <row r="17" spans="1:9" ht="48" customHeight="1" x14ac:dyDescent="0.35">
      <c r="A17" s="283">
        <v>6</v>
      </c>
      <c r="B17" s="334" t="s">
        <v>666</v>
      </c>
      <c r="C17" s="296"/>
      <c r="D17" s="296"/>
      <c r="E17" s="296"/>
      <c r="F17" s="296"/>
      <c r="G17" s="296"/>
      <c r="H17" s="632">
        <v>28496.910394999999</v>
      </c>
      <c r="I17" s="634"/>
    </row>
    <row r="18" spans="1:9" ht="40.5" customHeight="1" x14ac:dyDescent="0.35">
      <c r="A18" s="283">
        <v>7</v>
      </c>
      <c r="B18" s="337" t="s">
        <v>673</v>
      </c>
      <c r="C18" s="648"/>
      <c r="D18" s="298"/>
      <c r="E18" s="298"/>
      <c r="F18" s="298"/>
      <c r="G18" s="298"/>
      <c r="H18" s="298">
        <v>89539.752059000006</v>
      </c>
      <c r="I18" s="634"/>
    </row>
    <row r="19" spans="1:9" ht="30" customHeight="1" x14ac:dyDescent="0.35">
      <c r="A19" s="283">
        <v>8</v>
      </c>
      <c r="B19" s="337" t="s">
        <v>667</v>
      </c>
      <c r="C19" s="648"/>
      <c r="D19" s="298"/>
      <c r="E19" s="298"/>
      <c r="F19" s="298"/>
      <c r="G19" s="298"/>
      <c r="H19" s="298">
        <v>1020</v>
      </c>
      <c r="I19" s="634"/>
    </row>
    <row r="20" spans="1:9" ht="16.5" customHeight="1" x14ac:dyDescent="0.35">
      <c r="A20" s="644"/>
      <c r="B20" s="669"/>
      <c r="C20" s="670"/>
      <c r="D20" s="671"/>
      <c r="E20" s="671"/>
      <c r="F20" s="671"/>
      <c r="G20" s="671"/>
      <c r="H20" s="671"/>
      <c r="I20" s="671"/>
    </row>
    <row r="21" spans="1:9" ht="36.75" hidden="1" customHeight="1" x14ac:dyDescent="0.35">
      <c r="A21" s="681" t="s">
        <v>470</v>
      </c>
      <c r="B21" s="681"/>
      <c r="C21" s="681"/>
      <c r="D21" s="681"/>
      <c r="E21" s="681"/>
      <c r="F21" s="681"/>
      <c r="G21" s="681"/>
      <c r="H21" s="681"/>
      <c r="I21" s="681"/>
    </row>
    <row r="22" spans="1:9" ht="16.5" x14ac:dyDescent="0.35">
      <c r="A22" s="292"/>
      <c r="C22" s="682"/>
      <c r="D22" s="682"/>
      <c r="E22" s="682"/>
      <c r="F22" s="682"/>
      <c r="G22" s="682"/>
      <c r="H22" s="682"/>
      <c r="I22" s="682"/>
    </row>
    <row r="23" spans="1:9" x14ac:dyDescent="0.35">
      <c r="A23" s="677" t="s">
        <v>668</v>
      </c>
      <c r="B23" s="677"/>
      <c r="C23" s="677"/>
      <c r="D23" s="677"/>
      <c r="E23" s="677"/>
      <c r="F23" s="677"/>
      <c r="G23" s="677"/>
      <c r="H23" s="677"/>
      <c r="I23" s="677"/>
    </row>
    <row r="24" spans="1:9" ht="15.65" customHeight="1" x14ac:dyDescent="0.35">
      <c r="A24" s="329"/>
      <c r="B24" s="330"/>
      <c r="C24" s="330"/>
      <c r="D24" s="680" t="s">
        <v>475</v>
      </c>
      <c r="E24" s="680"/>
      <c r="F24" s="680"/>
      <c r="G24" s="680"/>
      <c r="H24" s="680"/>
      <c r="I24" s="680"/>
    </row>
    <row r="25" spans="1:9" ht="55.5" customHeight="1" x14ac:dyDescent="0.35">
      <c r="A25" s="271" t="s">
        <v>16</v>
      </c>
      <c r="B25" s="271" t="s">
        <v>315</v>
      </c>
      <c r="C25" s="271" t="s">
        <v>541</v>
      </c>
      <c r="D25" s="271" t="s">
        <v>606</v>
      </c>
      <c r="E25" s="271"/>
      <c r="F25" s="271"/>
      <c r="G25" s="271"/>
      <c r="H25" s="271" t="s">
        <v>658</v>
      </c>
      <c r="I25" s="271" t="s">
        <v>22</v>
      </c>
    </row>
    <row r="26" spans="1:9" x14ac:dyDescent="0.35">
      <c r="A26" s="283">
        <v>1</v>
      </c>
      <c r="B26" s="334" t="s">
        <v>669</v>
      </c>
      <c r="C26" s="648"/>
      <c r="D26" s="298"/>
      <c r="E26" s="298"/>
      <c r="F26" s="298"/>
      <c r="G26" s="298"/>
      <c r="H26" s="298">
        <v>91970.779358</v>
      </c>
      <c r="I26" s="634"/>
    </row>
    <row r="27" spans="1:9" x14ac:dyDescent="0.35">
      <c r="A27" s="283">
        <v>2</v>
      </c>
      <c r="B27" s="334" t="s">
        <v>672</v>
      </c>
      <c r="C27" s="648"/>
      <c r="D27" s="298"/>
      <c r="E27" s="298"/>
      <c r="F27" s="298"/>
      <c r="G27" s="298"/>
      <c r="H27" s="298">
        <v>806911.644187</v>
      </c>
      <c r="I27" s="634"/>
    </row>
    <row r="28" spans="1:9" x14ac:dyDescent="0.35">
      <c r="A28" s="283">
        <v>3</v>
      </c>
      <c r="B28" s="334" t="s">
        <v>670</v>
      </c>
      <c r="C28" s="648"/>
      <c r="D28" s="298"/>
      <c r="E28" s="298"/>
      <c r="F28" s="298"/>
      <c r="G28" s="298"/>
      <c r="H28" s="298">
        <v>114460.134609</v>
      </c>
      <c r="I28" s="634"/>
    </row>
    <row r="29" spans="1:9" x14ac:dyDescent="0.35">
      <c r="A29" s="283">
        <v>4</v>
      </c>
      <c r="B29" s="334" t="s">
        <v>671</v>
      </c>
      <c r="C29" s="648"/>
      <c r="D29" s="298"/>
      <c r="E29" s="298"/>
      <c r="F29" s="298"/>
      <c r="G29" s="298"/>
      <c r="H29" s="298">
        <v>3092.1896190000002</v>
      </c>
      <c r="I29" s="634"/>
    </row>
    <row r="30" spans="1:9" x14ac:dyDescent="0.35">
      <c r="A30" s="283">
        <v>5</v>
      </c>
      <c r="B30" s="299" t="s">
        <v>409</v>
      </c>
      <c r="C30" s="649"/>
      <c r="D30" s="298"/>
      <c r="E30" s="298"/>
      <c r="F30" s="298"/>
      <c r="G30" s="298"/>
      <c r="H30" s="632">
        <v>74509.138978000003</v>
      </c>
      <c r="I30" s="634"/>
    </row>
    <row r="31" spans="1:9" x14ac:dyDescent="0.35">
      <c r="A31" s="637"/>
      <c r="B31" s="333"/>
      <c r="C31" s="296"/>
      <c r="D31" s="296"/>
      <c r="E31" s="296"/>
      <c r="F31" s="296"/>
      <c r="G31" s="296"/>
      <c r="H31" s="296"/>
      <c r="I31" s="634"/>
    </row>
    <row r="32" spans="1:9" x14ac:dyDescent="0.35">
      <c r="A32" s="644"/>
      <c r="B32" s="669"/>
      <c r="C32" s="670"/>
      <c r="D32" s="671"/>
      <c r="E32" s="671"/>
      <c r="F32" s="671"/>
      <c r="G32" s="671"/>
      <c r="H32" s="671"/>
      <c r="I32" s="671"/>
    </row>
  </sheetData>
  <mergeCells count="8">
    <mergeCell ref="A3:I3"/>
    <mergeCell ref="A1:B1"/>
    <mergeCell ref="A2:I2"/>
    <mergeCell ref="D4:I4"/>
    <mergeCell ref="A21:I21"/>
    <mergeCell ref="C22:I22"/>
    <mergeCell ref="A23:I23"/>
    <mergeCell ref="D24:I24"/>
  </mergeCells>
  <pageMargins left="1.02" right="0.23622047244094491" top="0.7" bottom="0.62992125984251968" header="0.31496062992125984" footer="0.31496062992125984"/>
  <pageSetup paperSize="9" fitToWidth="0" orientation="portrait" r:id="rId1"/>
  <headerFooter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4:C68"/>
  <sheetViews>
    <sheetView topLeftCell="A18" workbookViewId="0">
      <selection activeCell="F11" sqref="F11"/>
    </sheetView>
  </sheetViews>
  <sheetFormatPr defaultRowHeight="14.5" x14ac:dyDescent="0.35"/>
  <cols>
    <col min="2" max="2" width="43.36328125" customWidth="1"/>
    <col min="3" max="3" width="16.90625" customWidth="1"/>
  </cols>
  <sheetData>
    <row r="4" spans="2:3" x14ac:dyDescent="0.35">
      <c r="B4" s="624" t="s">
        <v>617</v>
      </c>
      <c r="C4" s="625">
        <v>65807639957</v>
      </c>
    </row>
    <row r="5" spans="2:3" ht="26" x14ac:dyDescent="0.35">
      <c r="B5" s="624" t="s">
        <v>618</v>
      </c>
      <c r="C5" s="625">
        <v>11246948794</v>
      </c>
    </row>
    <row r="6" spans="2:3" x14ac:dyDescent="0.35">
      <c r="B6" s="624" t="s">
        <v>631</v>
      </c>
      <c r="C6" s="625">
        <v>866535564</v>
      </c>
    </row>
    <row r="7" spans="2:3" x14ac:dyDescent="0.35">
      <c r="B7" s="624" t="s">
        <v>628</v>
      </c>
      <c r="C7" s="625">
        <v>815328120</v>
      </c>
    </row>
    <row r="8" spans="2:3" x14ac:dyDescent="0.35">
      <c r="B8" s="624" t="s">
        <v>627</v>
      </c>
      <c r="C8" s="625">
        <v>2235000000</v>
      </c>
    </row>
    <row r="9" spans="2:3" x14ac:dyDescent="0.35">
      <c r="B9" s="624" t="s">
        <v>625</v>
      </c>
      <c r="C9" s="625">
        <v>3641574747</v>
      </c>
    </row>
    <row r="10" spans="2:3" x14ac:dyDescent="0.35">
      <c r="B10" s="624"/>
      <c r="C10" s="625"/>
    </row>
    <row r="11" spans="2:3" x14ac:dyDescent="0.35">
      <c r="B11" s="624" t="s">
        <v>613</v>
      </c>
      <c r="C11" s="625">
        <v>8238170323</v>
      </c>
    </row>
    <row r="12" spans="2:3" ht="26" x14ac:dyDescent="0.35">
      <c r="B12" s="624" t="s">
        <v>619</v>
      </c>
      <c r="C12" s="625">
        <v>4433273430</v>
      </c>
    </row>
    <row r="13" spans="2:3" ht="26" x14ac:dyDescent="0.35">
      <c r="B13" s="624" t="s">
        <v>634</v>
      </c>
      <c r="C13" s="625">
        <v>2988987173</v>
      </c>
    </row>
    <row r="14" spans="2:3" ht="26" x14ac:dyDescent="0.35">
      <c r="B14" s="624" t="s">
        <v>635</v>
      </c>
      <c r="C14" s="625">
        <v>11960715305</v>
      </c>
    </row>
    <row r="15" spans="2:3" ht="26" x14ac:dyDescent="0.35">
      <c r="B15" s="624" t="s">
        <v>637</v>
      </c>
      <c r="C15" s="625">
        <v>668733071</v>
      </c>
    </row>
    <row r="16" spans="2:3" x14ac:dyDescent="0.35">
      <c r="B16" s="624" t="s">
        <v>614</v>
      </c>
      <c r="C16" s="625">
        <v>1913677917</v>
      </c>
    </row>
    <row r="17" spans="2:3" x14ac:dyDescent="0.35">
      <c r="B17" s="624" t="s">
        <v>642</v>
      </c>
      <c r="C17" s="625">
        <v>45214900</v>
      </c>
    </row>
    <row r="18" spans="2:3" x14ac:dyDescent="0.35">
      <c r="B18" s="624" t="s">
        <v>643</v>
      </c>
      <c r="C18" s="625">
        <v>150000000</v>
      </c>
    </row>
    <row r="19" spans="2:3" x14ac:dyDescent="0.35">
      <c r="B19" s="624" t="s">
        <v>626</v>
      </c>
      <c r="C19" s="625">
        <v>3094255294</v>
      </c>
    </row>
    <row r="20" spans="2:3" x14ac:dyDescent="0.35">
      <c r="B20" s="626"/>
      <c r="C20" s="627"/>
    </row>
    <row r="21" spans="2:3" x14ac:dyDescent="0.35">
      <c r="B21" s="626"/>
      <c r="C21" s="627"/>
    </row>
    <row r="23" spans="2:3" ht="26" x14ac:dyDescent="0.35">
      <c r="B23" s="624" t="s">
        <v>624</v>
      </c>
      <c r="C23" s="625">
        <v>4643504644</v>
      </c>
    </row>
    <row r="27" spans="2:3" x14ac:dyDescent="0.35">
      <c r="B27" s="626"/>
      <c r="C27" s="627"/>
    </row>
    <row r="28" spans="2:3" x14ac:dyDescent="0.35">
      <c r="B28" s="626"/>
      <c r="C28" s="627"/>
    </row>
    <row r="29" spans="2:3" x14ac:dyDescent="0.35">
      <c r="B29" s="626"/>
      <c r="C29" s="627"/>
    </row>
    <row r="30" spans="2:3" x14ac:dyDescent="0.35">
      <c r="B30" s="626"/>
      <c r="C30" s="627"/>
    </row>
    <row r="32" spans="2:3" x14ac:dyDescent="0.35">
      <c r="B32" s="624"/>
      <c r="C32" s="625"/>
    </row>
    <row r="33" spans="2:3" x14ac:dyDescent="0.35">
      <c r="B33" s="624" t="s">
        <v>612</v>
      </c>
      <c r="C33" s="625">
        <v>1237053600</v>
      </c>
    </row>
    <row r="34" spans="2:3" x14ac:dyDescent="0.35">
      <c r="B34" s="624"/>
      <c r="C34" s="625"/>
    </row>
    <row r="36" spans="2:3" x14ac:dyDescent="0.35">
      <c r="B36" s="624" t="s">
        <v>615</v>
      </c>
      <c r="C36" s="625">
        <v>62000000</v>
      </c>
    </row>
    <row r="37" spans="2:3" ht="26" x14ac:dyDescent="0.35">
      <c r="B37" s="624" t="s">
        <v>616</v>
      </c>
      <c r="C37" s="625">
        <v>80000000</v>
      </c>
    </row>
    <row r="38" spans="2:3" x14ac:dyDescent="0.35">
      <c r="B38" s="624" t="s">
        <v>614</v>
      </c>
      <c r="C38" s="625">
        <v>1913677917</v>
      </c>
    </row>
    <row r="41" spans="2:3" x14ac:dyDescent="0.35">
      <c r="B41" s="624" t="s">
        <v>620</v>
      </c>
      <c r="C41" s="625">
        <v>1313074501</v>
      </c>
    </row>
    <row r="42" spans="2:3" ht="26" x14ac:dyDescent="0.35">
      <c r="B42" s="624" t="s">
        <v>621</v>
      </c>
      <c r="C42" s="625">
        <v>3025229346</v>
      </c>
    </row>
    <row r="43" spans="2:3" x14ac:dyDescent="0.35">
      <c r="B43" s="624" t="s">
        <v>622</v>
      </c>
      <c r="C43" s="625">
        <v>1251654255</v>
      </c>
    </row>
    <row r="44" spans="2:3" ht="26" x14ac:dyDescent="0.35">
      <c r="B44" s="624" t="s">
        <v>623</v>
      </c>
      <c r="C44" s="625">
        <v>1651131125</v>
      </c>
    </row>
    <row r="45" spans="2:3" x14ac:dyDescent="0.35">
      <c r="B45" s="624" t="s">
        <v>624</v>
      </c>
      <c r="C45" s="625">
        <v>3737615070</v>
      </c>
    </row>
    <row r="51" spans="2:3" x14ac:dyDescent="0.35">
      <c r="B51" s="624" t="s">
        <v>629</v>
      </c>
      <c r="C51" s="625">
        <v>96000000</v>
      </c>
    </row>
    <row r="52" spans="2:3" x14ac:dyDescent="0.35">
      <c r="B52" s="624" t="s">
        <v>630</v>
      </c>
      <c r="C52" s="625">
        <v>17845664721</v>
      </c>
    </row>
    <row r="54" spans="2:3" x14ac:dyDescent="0.35">
      <c r="B54" s="624" t="s">
        <v>632</v>
      </c>
      <c r="C54" s="625">
        <v>425978972</v>
      </c>
    </row>
    <row r="55" spans="2:3" x14ac:dyDescent="0.35">
      <c r="B55" s="624" t="s">
        <v>633</v>
      </c>
      <c r="C55" s="625">
        <v>742169230</v>
      </c>
    </row>
    <row r="58" spans="2:3" x14ac:dyDescent="0.35">
      <c r="B58" s="624" t="s">
        <v>636</v>
      </c>
      <c r="C58" s="625">
        <v>720982759</v>
      </c>
    </row>
    <row r="60" spans="2:3" x14ac:dyDescent="0.35">
      <c r="B60" s="624" t="s">
        <v>638</v>
      </c>
      <c r="C60" s="625">
        <v>1510914000</v>
      </c>
    </row>
    <row r="61" spans="2:3" x14ac:dyDescent="0.35">
      <c r="B61" s="624" t="s">
        <v>377</v>
      </c>
      <c r="C61" s="625">
        <v>3420206529</v>
      </c>
    </row>
    <row r="62" spans="2:3" x14ac:dyDescent="0.35">
      <c r="B62" s="624" t="s">
        <v>639</v>
      </c>
      <c r="C62" s="625">
        <v>720531600</v>
      </c>
    </row>
    <row r="63" spans="2:3" x14ac:dyDescent="0.35">
      <c r="B63" s="624" t="s">
        <v>640</v>
      </c>
      <c r="C63" s="625">
        <v>72153000</v>
      </c>
    </row>
    <row r="64" spans="2:3" ht="26" x14ac:dyDescent="0.35">
      <c r="B64" s="624" t="s">
        <v>641</v>
      </c>
      <c r="C64" s="625">
        <v>526414500</v>
      </c>
    </row>
    <row r="67" spans="2:3" ht="26" x14ac:dyDescent="0.35">
      <c r="B67" s="624" t="s">
        <v>644</v>
      </c>
      <c r="C67" s="625">
        <v>-8764004995</v>
      </c>
    </row>
    <row r="68" spans="2:3" ht="26" x14ac:dyDescent="0.35">
      <c r="B68" s="624" t="s">
        <v>645</v>
      </c>
      <c r="C68" s="62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</sheetPr>
  <dimension ref="A1:V45"/>
  <sheetViews>
    <sheetView topLeftCell="A11" workbookViewId="0">
      <selection activeCell="T13" sqref="T13"/>
    </sheetView>
  </sheetViews>
  <sheetFormatPr defaultRowHeight="15.5" x14ac:dyDescent="0.35"/>
  <cols>
    <col min="1" max="1" width="6.08984375" style="555" customWidth="1"/>
    <col min="2" max="2" width="45.453125" style="555" customWidth="1"/>
    <col min="3" max="3" width="5.90625" style="555" customWidth="1"/>
    <col min="4" max="4" width="10.453125" style="555" customWidth="1"/>
    <col min="5" max="5" width="14.6328125" style="555" customWidth="1"/>
    <col min="6" max="6" width="7.90625" style="555" customWidth="1"/>
    <col min="7" max="7" width="10.6328125" style="555" customWidth="1"/>
    <col min="8" max="8" width="16.08984375" style="555" customWidth="1"/>
    <col min="9" max="9" width="30.36328125" style="555" hidden="1" customWidth="1"/>
    <col min="10" max="10" width="20.08984375" style="555" hidden="1" customWidth="1"/>
    <col min="11" max="11" width="22.90625" style="555" hidden="1" customWidth="1"/>
    <col min="12" max="13" width="10.36328125" style="555" hidden="1" customWidth="1"/>
    <col min="14" max="14" width="15.6328125" style="555" hidden="1" customWidth="1"/>
    <col min="15" max="15" width="17.6328125" style="555" hidden="1" customWidth="1"/>
    <col min="16" max="16" width="17" style="555" hidden="1" customWidth="1"/>
    <col min="17" max="17" width="0" style="555" hidden="1" customWidth="1"/>
    <col min="18" max="18" width="13.54296875" style="555" customWidth="1"/>
    <col min="19" max="19" width="5.08984375" style="555" customWidth="1"/>
    <col min="20" max="20" width="16.6328125" style="555" customWidth="1"/>
    <col min="21" max="21" width="12" style="555" customWidth="1"/>
    <col min="22" max="260" width="9.08984375" style="555"/>
    <col min="261" max="261" width="6.08984375" style="555" customWidth="1"/>
    <col min="262" max="262" width="42" style="555" customWidth="1"/>
    <col min="263" max="263" width="9.08984375" style="555"/>
    <col min="264" max="264" width="15.6328125" style="555" customWidth="1"/>
    <col min="265" max="265" width="20.36328125" style="555" customWidth="1"/>
    <col min="266" max="274" width="0" style="555" hidden="1" customWidth="1"/>
    <col min="275" max="275" width="9.08984375" style="555"/>
    <col min="276" max="276" width="12.6328125" style="555" bestFit="1" customWidth="1"/>
    <col min="277" max="277" width="12" style="555" customWidth="1"/>
    <col min="278" max="516" width="9.08984375" style="555"/>
    <col min="517" max="517" width="6.08984375" style="555" customWidth="1"/>
    <col min="518" max="518" width="42" style="555" customWidth="1"/>
    <col min="519" max="519" width="9.08984375" style="555"/>
    <col min="520" max="520" width="15.6328125" style="555" customWidth="1"/>
    <col min="521" max="521" width="20.36328125" style="555" customWidth="1"/>
    <col min="522" max="530" width="0" style="555" hidden="1" customWidth="1"/>
    <col min="531" max="531" width="9.08984375" style="555"/>
    <col min="532" max="532" width="12.6328125" style="555" bestFit="1" customWidth="1"/>
    <col min="533" max="533" width="12" style="555" customWidth="1"/>
    <col min="534" max="772" width="9.08984375" style="555"/>
    <col min="773" max="773" width="6.08984375" style="555" customWidth="1"/>
    <col min="774" max="774" width="42" style="555" customWidth="1"/>
    <col min="775" max="775" width="9.08984375" style="555"/>
    <col min="776" max="776" width="15.6328125" style="555" customWidth="1"/>
    <col min="777" max="777" width="20.36328125" style="555" customWidth="1"/>
    <col min="778" max="786" width="0" style="555" hidden="1" customWidth="1"/>
    <col min="787" max="787" width="9.08984375" style="555"/>
    <col min="788" max="788" width="12.6328125" style="555" bestFit="1" customWidth="1"/>
    <col min="789" max="789" width="12" style="555" customWidth="1"/>
    <col min="790" max="1028" width="9.08984375" style="555"/>
    <col min="1029" max="1029" width="6.08984375" style="555" customWidth="1"/>
    <col min="1030" max="1030" width="42" style="555" customWidth="1"/>
    <col min="1031" max="1031" width="9.08984375" style="555"/>
    <col min="1032" max="1032" width="15.6328125" style="555" customWidth="1"/>
    <col min="1033" max="1033" width="20.36328125" style="555" customWidth="1"/>
    <col min="1034" max="1042" width="0" style="555" hidden="1" customWidth="1"/>
    <col min="1043" max="1043" width="9.08984375" style="555"/>
    <col min="1044" max="1044" width="12.6328125" style="555" bestFit="1" customWidth="1"/>
    <col min="1045" max="1045" width="12" style="555" customWidth="1"/>
    <col min="1046" max="1284" width="9.08984375" style="555"/>
    <col min="1285" max="1285" width="6.08984375" style="555" customWidth="1"/>
    <col min="1286" max="1286" width="42" style="555" customWidth="1"/>
    <col min="1287" max="1287" width="9.08984375" style="555"/>
    <col min="1288" max="1288" width="15.6328125" style="555" customWidth="1"/>
    <col min="1289" max="1289" width="20.36328125" style="555" customWidth="1"/>
    <col min="1290" max="1298" width="0" style="555" hidden="1" customWidth="1"/>
    <col min="1299" max="1299" width="9.08984375" style="555"/>
    <col min="1300" max="1300" width="12.6328125" style="555" bestFit="1" customWidth="1"/>
    <col min="1301" max="1301" width="12" style="555" customWidth="1"/>
    <col min="1302" max="1540" width="9.08984375" style="555"/>
    <col min="1541" max="1541" width="6.08984375" style="555" customWidth="1"/>
    <col min="1542" max="1542" width="42" style="555" customWidth="1"/>
    <col min="1543" max="1543" width="9.08984375" style="555"/>
    <col min="1544" max="1544" width="15.6328125" style="555" customWidth="1"/>
    <col min="1545" max="1545" width="20.36328125" style="555" customWidth="1"/>
    <col min="1546" max="1554" width="0" style="555" hidden="1" customWidth="1"/>
    <col min="1555" max="1555" width="9.08984375" style="555"/>
    <col min="1556" max="1556" width="12.6328125" style="555" bestFit="1" customWidth="1"/>
    <col min="1557" max="1557" width="12" style="555" customWidth="1"/>
    <col min="1558" max="1796" width="9.08984375" style="555"/>
    <col min="1797" max="1797" width="6.08984375" style="555" customWidth="1"/>
    <col min="1798" max="1798" width="42" style="555" customWidth="1"/>
    <col min="1799" max="1799" width="9.08984375" style="555"/>
    <col min="1800" max="1800" width="15.6328125" style="555" customWidth="1"/>
    <col min="1801" max="1801" width="20.36328125" style="555" customWidth="1"/>
    <col min="1802" max="1810" width="0" style="555" hidden="1" customWidth="1"/>
    <col min="1811" max="1811" width="9.08984375" style="555"/>
    <col min="1812" max="1812" width="12.6328125" style="555" bestFit="1" customWidth="1"/>
    <col min="1813" max="1813" width="12" style="555" customWidth="1"/>
    <col min="1814" max="2052" width="9.08984375" style="555"/>
    <col min="2053" max="2053" width="6.08984375" style="555" customWidth="1"/>
    <col min="2054" max="2054" width="42" style="555" customWidth="1"/>
    <col min="2055" max="2055" width="9.08984375" style="555"/>
    <col min="2056" max="2056" width="15.6328125" style="555" customWidth="1"/>
    <col min="2057" max="2057" width="20.36328125" style="555" customWidth="1"/>
    <col min="2058" max="2066" width="0" style="555" hidden="1" customWidth="1"/>
    <col min="2067" max="2067" width="9.08984375" style="555"/>
    <col min="2068" max="2068" width="12.6328125" style="555" bestFit="1" customWidth="1"/>
    <col min="2069" max="2069" width="12" style="555" customWidth="1"/>
    <col min="2070" max="2308" width="9.08984375" style="555"/>
    <col min="2309" max="2309" width="6.08984375" style="555" customWidth="1"/>
    <col min="2310" max="2310" width="42" style="555" customWidth="1"/>
    <col min="2311" max="2311" width="9.08984375" style="555"/>
    <col min="2312" max="2312" width="15.6328125" style="555" customWidth="1"/>
    <col min="2313" max="2313" width="20.36328125" style="555" customWidth="1"/>
    <col min="2314" max="2322" width="0" style="555" hidden="1" customWidth="1"/>
    <col min="2323" max="2323" width="9.08984375" style="555"/>
    <col min="2324" max="2324" width="12.6328125" style="555" bestFit="1" customWidth="1"/>
    <col min="2325" max="2325" width="12" style="555" customWidth="1"/>
    <col min="2326" max="2564" width="9.08984375" style="555"/>
    <col min="2565" max="2565" width="6.08984375" style="555" customWidth="1"/>
    <col min="2566" max="2566" width="42" style="555" customWidth="1"/>
    <col min="2567" max="2567" width="9.08984375" style="555"/>
    <col min="2568" max="2568" width="15.6328125" style="555" customWidth="1"/>
    <col min="2569" max="2569" width="20.36328125" style="555" customWidth="1"/>
    <col min="2570" max="2578" width="0" style="555" hidden="1" customWidth="1"/>
    <col min="2579" max="2579" width="9.08984375" style="555"/>
    <col min="2580" max="2580" width="12.6328125" style="555" bestFit="1" customWidth="1"/>
    <col min="2581" max="2581" width="12" style="555" customWidth="1"/>
    <col min="2582" max="2820" width="9.08984375" style="555"/>
    <col min="2821" max="2821" width="6.08984375" style="555" customWidth="1"/>
    <col min="2822" max="2822" width="42" style="555" customWidth="1"/>
    <col min="2823" max="2823" width="9.08984375" style="555"/>
    <col min="2824" max="2824" width="15.6328125" style="555" customWidth="1"/>
    <col min="2825" max="2825" width="20.36328125" style="555" customWidth="1"/>
    <col min="2826" max="2834" width="0" style="555" hidden="1" customWidth="1"/>
    <col min="2835" max="2835" width="9.08984375" style="555"/>
    <col min="2836" max="2836" width="12.6328125" style="555" bestFit="1" customWidth="1"/>
    <col min="2837" max="2837" width="12" style="555" customWidth="1"/>
    <col min="2838" max="3076" width="9.08984375" style="555"/>
    <col min="3077" max="3077" width="6.08984375" style="555" customWidth="1"/>
    <col min="3078" max="3078" width="42" style="555" customWidth="1"/>
    <col min="3079" max="3079" width="9.08984375" style="555"/>
    <col min="3080" max="3080" width="15.6328125" style="555" customWidth="1"/>
    <col min="3081" max="3081" width="20.36328125" style="555" customWidth="1"/>
    <col min="3082" max="3090" width="0" style="555" hidden="1" customWidth="1"/>
    <col min="3091" max="3091" width="9.08984375" style="555"/>
    <col min="3092" max="3092" width="12.6328125" style="555" bestFit="1" customWidth="1"/>
    <col min="3093" max="3093" width="12" style="555" customWidth="1"/>
    <col min="3094" max="3332" width="9.08984375" style="555"/>
    <col min="3333" max="3333" width="6.08984375" style="555" customWidth="1"/>
    <col min="3334" max="3334" width="42" style="555" customWidth="1"/>
    <col min="3335" max="3335" width="9.08984375" style="555"/>
    <col min="3336" max="3336" width="15.6328125" style="555" customWidth="1"/>
    <col min="3337" max="3337" width="20.36328125" style="555" customWidth="1"/>
    <col min="3338" max="3346" width="0" style="555" hidden="1" customWidth="1"/>
    <col min="3347" max="3347" width="9.08984375" style="555"/>
    <col min="3348" max="3348" width="12.6328125" style="555" bestFit="1" customWidth="1"/>
    <col min="3349" max="3349" width="12" style="555" customWidth="1"/>
    <col min="3350" max="3588" width="9.08984375" style="555"/>
    <col min="3589" max="3589" width="6.08984375" style="555" customWidth="1"/>
    <col min="3590" max="3590" width="42" style="555" customWidth="1"/>
    <col min="3591" max="3591" width="9.08984375" style="555"/>
    <col min="3592" max="3592" width="15.6328125" style="555" customWidth="1"/>
    <col min="3593" max="3593" width="20.36328125" style="555" customWidth="1"/>
    <col min="3594" max="3602" width="0" style="555" hidden="1" customWidth="1"/>
    <col min="3603" max="3603" width="9.08984375" style="555"/>
    <col min="3604" max="3604" width="12.6328125" style="555" bestFit="1" customWidth="1"/>
    <col min="3605" max="3605" width="12" style="555" customWidth="1"/>
    <col min="3606" max="3844" width="9.08984375" style="555"/>
    <col min="3845" max="3845" width="6.08984375" style="555" customWidth="1"/>
    <col min="3846" max="3846" width="42" style="555" customWidth="1"/>
    <col min="3847" max="3847" width="9.08984375" style="555"/>
    <col min="3848" max="3848" width="15.6328125" style="555" customWidth="1"/>
    <col min="3849" max="3849" width="20.36328125" style="555" customWidth="1"/>
    <col min="3850" max="3858" width="0" style="555" hidden="1" customWidth="1"/>
    <col min="3859" max="3859" width="9.08984375" style="555"/>
    <col min="3860" max="3860" width="12.6328125" style="555" bestFit="1" customWidth="1"/>
    <col min="3861" max="3861" width="12" style="555" customWidth="1"/>
    <col min="3862" max="4100" width="9.08984375" style="555"/>
    <col min="4101" max="4101" width="6.08984375" style="555" customWidth="1"/>
    <col min="4102" max="4102" width="42" style="555" customWidth="1"/>
    <col min="4103" max="4103" width="9.08984375" style="555"/>
    <col min="4104" max="4104" width="15.6328125" style="555" customWidth="1"/>
    <col min="4105" max="4105" width="20.36328125" style="555" customWidth="1"/>
    <col min="4106" max="4114" width="0" style="555" hidden="1" customWidth="1"/>
    <col min="4115" max="4115" width="9.08984375" style="555"/>
    <col min="4116" max="4116" width="12.6328125" style="555" bestFit="1" customWidth="1"/>
    <col min="4117" max="4117" width="12" style="555" customWidth="1"/>
    <col min="4118" max="4356" width="9.08984375" style="555"/>
    <col min="4357" max="4357" width="6.08984375" style="555" customWidth="1"/>
    <col min="4358" max="4358" width="42" style="555" customWidth="1"/>
    <col min="4359" max="4359" width="9.08984375" style="555"/>
    <col min="4360" max="4360" width="15.6328125" style="555" customWidth="1"/>
    <col min="4361" max="4361" width="20.36328125" style="555" customWidth="1"/>
    <col min="4362" max="4370" width="0" style="555" hidden="1" customWidth="1"/>
    <col min="4371" max="4371" width="9.08984375" style="555"/>
    <col min="4372" max="4372" width="12.6328125" style="555" bestFit="1" customWidth="1"/>
    <col min="4373" max="4373" width="12" style="555" customWidth="1"/>
    <col min="4374" max="4612" width="9.08984375" style="555"/>
    <col min="4613" max="4613" width="6.08984375" style="555" customWidth="1"/>
    <col min="4614" max="4614" width="42" style="555" customWidth="1"/>
    <col min="4615" max="4615" width="9.08984375" style="555"/>
    <col min="4616" max="4616" width="15.6328125" style="555" customWidth="1"/>
    <col min="4617" max="4617" width="20.36328125" style="555" customWidth="1"/>
    <col min="4618" max="4626" width="0" style="555" hidden="1" customWidth="1"/>
    <col min="4627" max="4627" width="9.08984375" style="555"/>
    <col min="4628" max="4628" width="12.6328125" style="555" bestFit="1" customWidth="1"/>
    <col min="4629" max="4629" width="12" style="555" customWidth="1"/>
    <col min="4630" max="4868" width="9.08984375" style="555"/>
    <col min="4869" max="4869" width="6.08984375" style="555" customWidth="1"/>
    <col min="4870" max="4870" width="42" style="555" customWidth="1"/>
    <col min="4871" max="4871" width="9.08984375" style="555"/>
    <col min="4872" max="4872" width="15.6328125" style="555" customWidth="1"/>
    <col min="4873" max="4873" width="20.36328125" style="555" customWidth="1"/>
    <col min="4874" max="4882" width="0" style="555" hidden="1" customWidth="1"/>
    <col min="4883" max="4883" width="9.08984375" style="555"/>
    <col min="4884" max="4884" width="12.6328125" style="555" bestFit="1" customWidth="1"/>
    <col min="4885" max="4885" width="12" style="555" customWidth="1"/>
    <col min="4886" max="5124" width="9.08984375" style="555"/>
    <col min="5125" max="5125" width="6.08984375" style="555" customWidth="1"/>
    <col min="5126" max="5126" width="42" style="555" customWidth="1"/>
    <col min="5127" max="5127" width="9.08984375" style="555"/>
    <col min="5128" max="5128" width="15.6328125" style="555" customWidth="1"/>
    <col min="5129" max="5129" width="20.36328125" style="555" customWidth="1"/>
    <col min="5130" max="5138" width="0" style="555" hidden="1" customWidth="1"/>
    <col min="5139" max="5139" width="9.08984375" style="555"/>
    <col min="5140" max="5140" width="12.6328125" style="555" bestFit="1" customWidth="1"/>
    <col min="5141" max="5141" width="12" style="555" customWidth="1"/>
    <col min="5142" max="5380" width="9.08984375" style="555"/>
    <col min="5381" max="5381" width="6.08984375" style="555" customWidth="1"/>
    <col min="5382" max="5382" width="42" style="555" customWidth="1"/>
    <col min="5383" max="5383" width="9.08984375" style="555"/>
    <col min="5384" max="5384" width="15.6328125" style="555" customWidth="1"/>
    <col min="5385" max="5385" width="20.36328125" style="555" customWidth="1"/>
    <col min="5386" max="5394" width="0" style="555" hidden="1" customWidth="1"/>
    <col min="5395" max="5395" width="9.08984375" style="555"/>
    <col min="5396" max="5396" width="12.6328125" style="555" bestFit="1" customWidth="1"/>
    <col min="5397" max="5397" width="12" style="555" customWidth="1"/>
    <col min="5398" max="5636" width="9.08984375" style="555"/>
    <col min="5637" max="5637" width="6.08984375" style="555" customWidth="1"/>
    <col min="5638" max="5638" width="42" style="555" customWidth="1"/>
    <col min="5639" max="5639" width="9.08984375" style="555"/>
    <col min="5640" max="5640" width="15.6328125" style="555" customWidth="1"/>
    <col min="5641" max="5641" width="20.36328125" style="555" customWidth="1"/>
    <col min="5642" max="5650" width="0" style="555" hidden="1" customWidth="1"/>
    <col min="5651" max="5651" width="9.08984375" style="555"/>
    <col min="5652" max="5652" width="12.6328125" style="555" bestFit="1" customWidth="1"/>
    <col min="5653" max="5653" width="12" style="555" customWidth="1"/>
    <col min="5654" max="5892" width="9.08984375" style="555"/>
    <col min="5893" max="5893" width="6.08984375" style="555" customWidth="1"/>
    <col min="5894" max="5894" width="42" style="555" customWidth="1"/>
    <col min="5895" max="5895" width="9.08984375" style="555"/>
    <col min="5896" max="5896" width="15.6328125" style="555" customWidth="1"/>
    <col min="5897" max="5897" width="20.36328125" style="555" customWidth="1"/>
    <col min="5898" max="5906" width="0" style="555" hidden="1" customWidth="1"/>
    <col min="5907" max="5907" width="9.08984375" style="555"/>
    <col min="5908" max="5908" width="12.6328125" style="555" bestFit="1" customWidth="1"/>
    <col min="5909" max="5909" width="12" style="555" customWidth="1"/>
    <col min="5910" max="6148" width="9.08984375" style="555"/>
    <col min="6149" max="6149" width="6.08984375" style="555" customWidth="1"/>
    <col min="6150" max="6150" width="42" style="555" customWidth="1"/>
    <col min="6151" max="6151" width="9.08984375" style="555"/>
    <col min="6152" max="6152" width="15.6328125" style="555" customWidth="1"/>
    <col min="6153" max="6153" width="20.36328125" style="555" customWidth="1"/>
    <col min="6154" max="6162" width="0" style="555" hidden="1" customWidth="1"/>
    <col min="6163" max="6163" width="9.08984375" style="555"/>
    <col min="6164" max="6164" width="12.6328125" style="555" bestFit="1" customWidth="1"/>
    <col min="6165" max="6165" width="12" style="555" customWidth="1"/>
    <col min="6166" max="6404" width="9.08984375" style="555"/>
    <col min="6405" max="6405" width="6.08984375" style="555" customWidth="1"/>
    <col min="6406" max="6406" width="42" style="555" customWidth="1"/>
    <col min="6407" max="6407" width="9.08984375" style="555"/>
    <col min="6408" max="6408" width="15.6328125" style="555" customWidth="1"/>
    <col min="6409" max="6409" width="20.36328125" style="555" customWidth="1"/>
    <col min="6410" max="6418" width="0" style="555" hidden="1" customWidth="1"/>
    <col min="6419" max="6419" width="9.08984375" style="555"/>
    <col min="6420" max="6420" width="12.6328125" style="555" bestFit="1" customWidth="1"/>
    <col min="6421" max="6421" width="12" style="555" customWidth="1"/>
    <col min="6422" max="6660" width="9.08984375" style="555"/>
    <col min="6661" max="6661" width="6.08984375" style="555" customWidth="1"/>
    <col min="6662" max="6662" width="42" style="555" customWidth="1"/>
    <col min="6663" max="6663" width="9.08984375" style="555"/>
    <col min="6664" max="6664" width="15.6328125" style="555" customWidth="1"/>
    <col min="6665" max="6665" width="20.36328125" style="555" customWidth="1"/>
    <col min="6666" max="6674" width="0" style="555" hidden="1" customWidth="1"/>
    <col min="6675" max="6675" width="9.08984375" style="555"/>
    <col min="6676" max="6676" width="12.6328125" style="555" bestFit="1" customWidth="1"/>
    <col min="6677" max="6677" width="12" style="555" customWidth="1"/>
    <col min="6678" max="6916" width="9.08984375" style="555"/>
    <col min="6917" max="6917" width="6.08984375" style="555" customWidth="1"/>
    <col min="6918" max="6918" width="42" style="555" customWidth="1"/>
    <col min="6919" max="6919" width="9.08984375" style="555"/>
    <col min="6920" max="6920" width="15.6328125" style="555" customWidth="1"/>
    <col min="6921" max="6921" width="20.36328125" style="555" customWidth="1"/>
    <col min="6922" max="6930" width="0" style="555" hidden="1" customWidth="1"/>
    <col min="6931" max="6931" width="9.08984375" style="555"/>
    <col min="6932" max="6932" width="12.6328125" style="555" bestFit="1" customWidth="1"/>
    <col min="6933" max="6933" width="12" style="555" customWidth="1"/>
    <col min="6934" max="7172" width="9.08984375" style="555"/>
    <col min="7173" max="7173" width="6.08984375" style="555" customWidth="1"/>
    <col min="7174" max="7174" width="42" style="555" customWidth="1"/>
    <col min="7175" max="7175" width="9.08984375" style="555"/>
    <col min="7176" max="7176" width="15.6328125" style="555" customWidth="1"/>
    <col min="7177" max="7177" width="20.36328125" style="555" customWidth="1"/>
    <col min="7178" max="7186" width="0" style="555" hidden="1" customWidth="1"/>
    <col min="7187" max="7187" width="9.08984375" style="555"/>
    <col min="7188" max="7188" width="12.6328125" style="555" bestFit="1" customWidth="1"/>
    <col min="7189" max="7189" width="12" style="555" customWidth="1"/>
    <col min="7190" max="7428" width="9.08984375" style="555"/>
    <col min="7429" max="7429" width="6.08984375" style="555" customWidth="1"/>
    <col min="7430" max="7430" width="42" style="555" customWidth="1"/>
    <col min="7431" max="7431" width="9.08984375" style="555"/>
    <col min="7432" max="7432" width="15.6328125" style="555" customWidth="1"/>
    <col min="7433" max="7433" width="20.36328125" style="555" customWidth="1"/>
    <col min="7434" max="7442" width="0" style="555" hidden="1" customWidth="1"/>
    <col min="7443" max="7443" width="9.08984375" style="555"/>
    <col min="7444" max="7444" width="12.6328125" style="555" bestFit="1" customWidth="1"/>
    <col min="7445" max="7445" width="12" style="555" customWidth="1"/>
    <col min="7446" max="7684" width="9.08984375" style="555"/>
    <col min="7685" max="7685" width="6.08984375" style="555" customWidth="1"/>
    <col min="7686" max="7686" width="42" style="555" customWidth="1"/>
    <col min="7687" max="7687" width="9.08984375" style="555"/>
    <col min="7688" max="7688" width="15.6328125" style="555" customWidth="1"/>
    <col min="7689" max="7689" width="20.36328125" style="555" customWidth="1"/>
    <col min="7690" max="7698" width="0" style="555" hidden="1" customWidth="1"/>
    <col min="7699" max="7699" width="9.08984375" style="555"/>
    <col min="7700" max="7700" width="12.6328125" style="555" bestFit="1" customWidth="1"/>
    <col min="7701" max="7701" width="12" style="555" customWidth="1"/>
    <col min="7702" max="7940" width="9.08984375" style="555"/>
    <col min="7941" max="7941" width="6.08984375" style="555" customWidth="1"/>
    <col min="7942" max="7942" width="42" style="555" customWidth="1"/>
    <col min="7943" max="7943" width="9.08984375" style="555"/>
    <col min="7944" max="7944" width="15.6328125" style="555" customWidth="1"/>
    <col min="7945" max="7945" width="20.36328125" style="555" customWidth="1"/>
    <col min="7946" max="7954" width="0" style="555" hidden="1" customWidth="1"/>
    <col min="7955" max="7955" width="9.08984375" style="555"/>
    <col min="7956" max="7956" width="12.6328125" style="555" bestFit="1" customWidth="1"/>
    <col min="7957" max="7957" width="12" style="555" customWidth="1"/>
    <col min="7958" max="8196" width="9.08984375" style="555"/>
    <col min="8197" max="8197" width="6.08984375" style="555" customWidth="1"/>
    <col min="8198" max="8198" width="42" style="555" customWidth="1"/>
    <col min="8199" max="8199" width="9.08984375" style="555"/>
    <col min="8200" max="8200" width="15.6328125" style="555" customWidth="1"/>
    <col min="8201" max="8201" width="20.36328125" style="555" customWidth="1"/>
    <col min="8202" max="8210" width="0" style="555" hidden="1" customWidth="1"/>
    <col min="8211" max="8211" width="9.08984375" style="555"/>
    <col min="8212" max="8212" width="12.6328125" style="555" bestFit="1" customWidth="1"/>
    <col min="8213" max="8213" width="12" style="555" customWidth="1"/>
    <col min="8214" max="8452" width="9.08984375" style="555"/>
    <col min="8453" max="8453" width="6.08984375" style="555" customWidth="1"/>
    <col min="8454" max="8454" width="42" style="555" customWidth="1"/>
    <col min="8455" max="8455" width="9.08984375" style="555"/>
    <col min="8456" max="8456" width="15.6328125" style="555" customWidth="1"/>
    <col min="8457" max="8457" width="20.36328125" style="555" customWidth="1"/>
    <col min="8458" max="8466" width="0" style="555" hidden="1" customWidth="1"/>
    <col min="8467" max="8467" width="9.08984375" style="555"/>
    <col min="8468" max="8468" width="12.6328125" style="555" bestFit="1" customWidth="1"/>
    <col min="8469" max="8469" width="12" style="555" customWidth="1"/>
    <col min="8470" max="8708" width="9.08984375" style="555"/>
    <col min="8709" max="8709" width="6.08984375" style="555" customWidth="1"/>
    <col min="8710" max="8710" width="42" style="555" customWidth="1"/>
    <col min="8711" max="8711" width="9.08984375" style="555"/>
    <col min="8712" max="8712" width="15.6328125" style="555" customWidth="1"/>
    <col min="8713" max="8713" width="20.36328125" style="555" customWidth="1"/>
    <col min="8714" max="8722" width="0" style="555" hidden="1" customWidth="1"/>
    <col min="8723" max="8723" width="9.08984375" style="555"/>
    <col min="8724" max="8724" width="12.6328125" style="555" bestFit="1" customWidth="1"/>
    <col min="8725" max="8725" width="12" style="555" customWidth="1"/>
    <col min="8726" max="8964" width="9.08984375" style="555"/>
    <col min="8965" max="8965" width="6.08984375" style="555" customWidth="1"/>
    <col min="8966" max="8966" width="42" style="555" customWidth="1"/>
    <col min="8967" max="8967" width="9.08984375" style="555"/>
    <col min="8968" max="8968" width="15.6328125" style="555" customWidth="1"/>
    <col min="8969" max="8969" width="20.36328125" style="555" customWidth="1"/>
    <col min="8970" max="8978" width="0" style="555" hidden="1" customWidth="1"/>
    <col min="8979" max="8979" width="9.08984375" style="555"/>
    <col min="8980" max="8980" width="12.6328125" style="555" bestFit="1" customWidth="1"/>
    <col min="8981" max="8981" width="12" style="555" customWidth="1"/>
    <col min="8982" max="9220" width="9.08984375" style="555"/>
    <col min="9221" max="9221" width="6.08984375" style="555" customWidth="1"/>
    <col min="9222" max="9222" width="42" style="555" customWidth="1"/>
    <col min="9223" max="9223" width="9.08984375" style="555"/>
    <col min="9224" max="9224" width="15.6328125" style="555" customWidth="1"/>
    <col min="9225" max="9225" width="20.36328125" style="555" customWidth="1"/>
    <col min="9226" max="9234" width="0" style="555" hidden="1" customWidth="1"/>
    <col min="9235" max="9235" width="9.08984375" style="555"/>
    <col min="9236" max="9236" width="12.6328125" style="555" bestFit="1" customWidth="1"/>
    <col min="9237" max="9237" width="12" style="555" customWidth="1"/>
    <col min="9238" max="9476" width="9.08984375" style="555"/>
    <col min="9477" max="9477" width="6.08984375" style="555" customWidth="1"/>
    <col min="9478" max="9478" width="42" style="555" customWidth="1"/>
    <col min="9479" max="9479" width="9.08984375" style="555"/>
    <col min="9480" max="9480" width="15.6328125" style="555" customWidth="1"/>
    <col min="9481" max="9481" width="20.36328125" style="555" customWidth="1"/>
    <col min="9482" max="9490" width="0" style="555" hidden="1" customWidth="1"/>
    <col min="9491" max="9491" width="9.08984375" style="555"/>
    <col min="9492" max="9492" width="12.6328125" style="555" bestFit="1" customWidth="1"/>
    <col min="9493" max="9493" width="12" style="555" customWidth="1"/>
    <col min="9494" max="9732" width="9.08984375" style="555"/>
    <col min="9733" max="9733" width="6.08984375" style="555" customWidth="1"/>
    <col min="9734" max="9734" width="42" style="555" customWidth="1"/>
    <col min="9735" max="9735" width="9.08984375" style="555"/>
    <col min="9736" max="9736" width="15.6328125" style="555" customWidth="1"/>
    <col min="9737" max="9737" width="20.36328125" style="555" customWidth="1"/>
    <col min="9738" max="9746" width="0" style="555" hidden="1" customWidth="1"/>
    <col min="9747" max="9747" width="9.08984375" style="555"/>
    <col min="9748" max="9748" width="12.6328125" style="555" bestFit="1" customWidth="1"/>
    <col min="9749" max="9749" width="12" style="555" customWidth="1"/>
    <col min="9750" max="9988" width="9.08984375" style="555"/>
    <col min="9989" max="9989" width="6.08984375" style="555" customWidth="1"/>
    <col min="9990" max="9990" width="42" style="555" customWidth="1"/>
    <col min="9991" max="9991" width="9.08984375" style="555"/>
    <col min="9992" max="9992" width="15.6328125" style="555" customWidth="1"/>
    <col min="9993" max="9993" width="20.36328125" style="555" customWidth="1"/>
    <col min="9994" max="10002" width="0" style="555" hidden="1" customWidth="1"/>
    <col min="10003" max="10003" width="9.08984375" style="555"/>
    <col min="10004" max="10004" width="12.6328125" style="555" bestFit="1" customWidth="1"/>
    <col min="10005" max="10005" width="12" style="555" customWidth="1"/>
    <col min="10006" max="10244" width="9.08984375" style="555"/>
    <col min="10245" max="10245" width="6.08984375" style="555" customWidth="1"/>
    <col min="10246" max="10246" width="42" style="555" customWidth="1"/>
    <col min="10247" max="10247" width="9.08984375" style="555"/>
    <col min="10248" max="10248" width="15.6328125" style="555" customWidth="1"/>
    <col min="10249" max="10249" width="20.36328125" style="555" customWidth="1"/>
    <col min="10250" max="10258" width="0" style="555" hidden="1" customWidth="1"/>
    <col min="10259" max="10259" width="9.08984375" style="555"/>
    <col min="10260" max="10260" width="12.6328125" style="555" bestFit="1" customWidth="1"/>
    <col min="10261" max="10261" width="12" style="555" customWidth="1"/>
    <col min="10262" max="10500" width="9.08984375" style="555"/>
    <col min="10501" max="10501" width="6.08984375" style="555" customWidth="1"/>
    <col min="10502" max="10502" width="42" style="555" customWidth="1"/>
    <col min="10503" max="10503" width="9.08984375" style="555"/>
    <col min="10504" max="10504" width="15.6328125" style="555" customWidth="1"/>
    <col min="10505" max="10505" width="20.36328125" style="555" customWidth="1"/>
    <col min="10506" max="10514" width="0" style="555" hidden="1" customWidth="1"/>
    <col min="10515" max="10515" width="9.08984375" style="555"/>
    <col min="10516" max="10516" width="12.6328125" style="555" bestFit="1" customWidth="1"/>
    <col min="10517" max="10517" width="12" style="555" customWidth="1"/>
    <col min="10518" max="10756" width="9.08984375" style="555"/>
    <col min="10757" max="10757" width="6.08984375" style="555" customWidth="1"/>
    <col min="10758" max="10758" width="42" style="555" customWidth="1"/>
    <col min="10759" max="10759" width="9.08984375" style="555"/>
    <col min="10760" max="10760" width="15.6328125" style="555" customWidth="1"/>
    <col min="10761" max="10761" width="20.36328125" style="555" customWidth="1"/>
    <col min="10762" max="10770" width="0" style="555" hidden="1" customWidth="1"/>
    <col min="10771" max="10771" width="9.08984375" style="555"/>
    <col min="10772" max="10772" width="12.6328125" style="555" bestFit="1" customWidth="1"/>
    <col min="10773" max="10773" width="12" style="555" customWidth="1"/>
    <col min="10774" max="11012" width="9.08984375" style="555"/>
    <col min="11013" max="11013" width="6.08984375" style="555" customWidth="1"/>
    <col min="11014" max="11014" width="42" style="555" customWidth="1"/>
    <col min="11015" max="11015" width="9.08984375" style="555"/>
    <col min="11016" max="11016" width="15.6328125" style="555" customWidth="1"/>
    <col min="11017" max="11017" width="20.36328125" style="555" customWidth="1"/>
    <col min="11018" max="11026" width="0" style="555" hidden="1" customWidth="1"/>
    <col min="11027" max="11027" width="9.08984375" style="555"/>
    <col min="11028" max="11028" width="12.6328125" style="555" bestFit="1" customWidth="1"/>
    <col min="11029" max="11029" width="12" style="555" customWidth="1"/>
    <col min="11030" max="11268" width="9.08984375" style="555"/>
    <col min="11269" max="11269" width="6.08984375" style="555" customWidth="1"/>
    <col min="11270" max="11270" width="42" style="555" customWidth="1"/>
    <col min="11271" max="11271" width="9.08984375" style="555"/>
    <col min="11272" max="11272" width="15.6328125" style="555" customWidth="1"/>
    <col min="11273" max="11273" width="20.36328125" style="555" customWidth="1"/>
    <col min="11274" max="11282" width="0" style="555" hidden="1" customWidth="1"/>
    <col min="11283" max="11283" width="9.08984375" style="555"/>
    <col min="11284" max="11284" width="12.6328125" style="555" bestFit="1" customWidth="1"/>
    <col min="11285" max="11285" width="12" style="555" customWidth="1"/>
    <col min="11286" max="11524" width="9.08984375" style="555"/>
    <col min="11525" max="11525" width="6.08984375" style="555" customWidth="1"/>
    <col min="11526" max="11526" width="42" style="555" customWidth="1"/>
    <col min="11527" max="11527" width="9.08984375" style="555"/>
    <col min="11528" max="11528" width="15.6328125" style="555" customWidth="1"/>
    <col min="11529" max="11529" width="20.36328125" style="555" customWidth="1"/>
    <col min="11530" max="11538" width="0" style="555" hidden="1" customWidth="1"/>
    <col min="11539" max="11539" width="9.08984375" style="555"/>
    <col min="11540" max="11540" width="12.6328125" style="555" bestFit="1" customWidth="1"/>
    <col min="11541" max="11541" width="12" style="555" customWidth="1"/>
    <col min="11542" max="11780" width="9.08984375" style="555"/>
    <col min="11781" max="11781" width="6.08984375" style="555" customWidth="1"/>
    <col min="11782" max="11782" width="42" style="555" customWidth="1"/>
    <col min="11783" max="11783" width="9.08984375" style="555"/>
    <col min="11784" max="11784" width="15.6328125" style="555" customWidth="1"/>
    <col min="11785" max="11785" width="20.36328125" style="555" customWidth="1"/>
    <col min="11786" max="11794" width="0" style="555" hidden="1" customWidth="1"/>
    <col min="11795" max="11795" width="9.08984375" style="555"/>
    <col min="11796" max="11796" width="12.6328125" style="555" bestFit="1" customWidth="1"/>
    <col min="11797" max="11797" width="12" style="555" customWidth="1"/>
    <col min="11798" max="12036" width="9.08984375" style="555"/>
    <col min="12037" max="12037" width="6.08984375" style="555" customWidth="1"/>
    <col min="12038" max="12038" width="42" style="555" customWidth="1"/>
    <col min="12039" max="12039" width="9.08984375" style="555"/>
    <col min="12040" max="12040" width="15.6328125" style="555" customWidth="1"/>
    <col min="12041" max="12041" width="20.36328125" style="555" customWidth="1"/>
    <col min="12042" max="12050" width="0" style="555" hidden="1" customWidth="1"/>
    <col min="12051" max="12051" width="9.08984375" style="555"/>
    <col min="12052" max="12052" width="12.6328125" style="555" bestFit="1" customWidth="1"/>
    <col min="12053" max="12053" width="12" style="555" customWidth="1"/>
    <col min="12054" max="12292" width="9.08984375" style="555"/>
    <col min="12293" max="12293" width="6.08984375" style="555" customWidth="1"/>
    <col min="12294" max="12294" width="42" style="555" customWidth="1"/>
    <col min="12295" max="12295" width="9.08984375" style="555"/>
    <col min="12296" max="12296" width="15.6328125" style="555" customWidth="1"/>
    <col min="12297" max="12297" width="20.36328125" style="555" customWidth="1"/>
    <col min="12298" max="12306" width="0" style="555" hidden="1" customWidth="1"/>
    <col min="12307" max="12307" width="9.08984375" style="555"/>
    <col min="12308" max="12308" width="12.6328125" style="555" bestFit="1" customWidth="1"/>
    <col min="12309" max="12309" width="12" style="555" customWidth="1"/>
    <col min="12310" max="12548" width="9.08984375" style="555"/>
    <col min="12549" max="12549" width="6.08984375" style="555" customWidth="1"/>
    <col min="12550" max="12550" width="42" style="555" customWidth="1"/>
    <col min="12551" max="12551" width="9.08984375" style="555"/>
    <col min="12552" max="12552" width="15.6328125" style="555" customWidth="1"/>
    <col min="12553" max="12553" width="20.36328125" style="555" customWidth="1"/>
    <col min="12554" max="12562" width="0" style="555" hidden="1" customWidth="1"/>
    <col min="12563" max="12563" width="9.08984375" style="555"/>
    <col min="12564" max="12564" width="12.6328125" style="555" bestFit="1" customWidth="1"/>
    <col min="12565" max="12565" width="12" style="555" customWidth="1"/>
    <col min="12566" max="12804" width="9.08984375" style="555"/>
    <col min="12805" max="12805" width="6.08984375" style="555" customWidth="1"/>
    <col min="12806" max="12806" width="42" style="555" customWidth="1"/>
    <col min="12807" max="12807" width="9.08984375" style="555"/>
    <col min="12808" max="12808" width="15.6328125" style="555" customWidth="1"/>
    <col min="12809" max="12809" width="20.36328125" style="555" customWidth="1"/>
    <col min="12810" max="12818" width="0" style="555" hidden="1" customWidth="1"/>
    <col min="12819" max="12819" width="9.08984375" style="555"/>
    <col min="12820" max="12820" width="12.6328125" style="555" bestFit="1" customWidth="1"/>
    <col min="12821" max="12821" width="12" style="555" customWidth="1"/>
    <col min="12822" max="13060" width="9.08984375" style="555"/>
    <col min="13061" max="13061" width="6.08984375" style="555" customWidth="1"/>
    <col min="13062" max="13062" width="42" style="555" customWidth="1"/>
    <col min="13063" max="13063" width="9.08984375" style="555"/>
    <col min="13064" max="13064" width="15.6328125" style="555" customWidth="1"/>
    <col min="13065" max="13065" width="20.36328125" style="555" customWidth="1"/>
    <col min="13066" max="13074" width="0" style="555" hidden="1" customWidth="1"/>
    <col min="13075" max="13075" width="9.08984375" style="555"/>
    <col min="13076" max="13076" width="12.6328125" style="555" bestFit="1" customWidth="1"/>
    <col min="13077" max="13077" width="12" style="555" customWidth="1"/>
    <col min="13078" max="13316" width="9.08984375" style="555"/>
    <col min="13317" max="13317" width="6.08984375" style="555" customWidth="1"/>
    <col min="13318" max="13318" width="42" style="555" customWidth="1"/>
    <col min="13319" max="13319" width="9.08984375" style="555"/>
    <col min="13320" max="13320" width="15.6328125" style="555" customWidth="1"/>
    <col min="13321" max="13321" width="20.36328125" style="555" customWidth="1"/>
    <col min="13322" max="13330" width="0" style="555" hidden="1" customWidth="1"/>
    <col min="13331" max="13331" width="9.08984375" style="555"/>
    <col min="13332" max="13332" width="12.6328125" style="555" bestFit="1" customWidth="1"/>
    <col min="13333" max="13333" width="12" style="555" customWidth="1"/>
    <col min="13334" max="13572" width="9.08984375" style="555"/>
    <col min="13573" max="13573" width="6.08984375" style="555" customWidth="1"/>
    <col min="13574" max="13574" width="42" style="555" customWidth="1"/>
    <col min="13575" max="13575" width="9.08984375" style="555"/>
    <col min="13576" max="13576" width="15.6328125" style="555" customWidth="1"/>
    <col min="13577" max="13577" width="20.36328125" style="555" customWidth="1"/>
    <col min="13578" max="13586" width="0" style="555" hidden="1" customWidth="1"/>
    <col min="13587" max="13587" width="9.08984375" style="555"/>
    <col min="13588" max="13588" width="12.6328125" style="555" bestFit="1" customWidth="1"/>
    <col min="13589" max="13589" width="12" style="555" customWidth="1"/>
    <col min="13590" max="13828" width="9.08984375" style="555"/>
    <col min="13829" max="13829" width="6.08984375" style="555" customWidth="1"/>
    <col min="13830" max="13830" width="42" style="555" customWidth="1"/>
    <col min="13831" max="13831" width="9.08984375" style="555"/>
    <col min="13832" max="13832" width="15.6328125" style="555" customWidth="1"/>
    <col min="13833" max="13833" width="20.36328125" style="555" customWidth="1"/>
    <col min="13834" max="13842" width="0" style="555" hidden="1" customWidth="1"/>
    <col min="13843" max="13843" width="9.08984375" style="555"/>
    <col min="13844" max="13844" width="12.6328125" style="555" bestFit="1" customWidth="1"/>
    <col min="13845" max="13845" width="12" style="555" customWidth="1"/>
    <col min="13846" max="14084" width="9.08984375" style="555"/>
    <col min="14085" max="14085" width="6.08984375" style="555" customWidth="1"/>
    <col min="14086" max="14086" width="42" style="555" customWidth="1"/>
    <col min="14087" max="14087" width="9.08984375" style="555"/>
    <col min="14088" max="14088" width="15.6328125" style="555" customWidth="1"/>
    <col min="14089" max="14089" width="20.36328125" style="555" customWidth="1"/>
    <col min="14090" max="14098" width="0" style="555" hidden="1" customWidth="1"/>
    <col min="14099" max="14099" width="9.08984375" style="555"/>
    <col min="14100" max="14100" width="12.6328125" style="555" bestFit="1" customWidth="1"/>
    <col min="14101" max="14101" width="12" style="555" customWidth="1"/>
    <col min="14102" max="14340" width="9.08984375" style="555"/>
    <col min="14341" max="14341" width="6.08984375" style="555" customWidth="1"/>
    <col min="14342" max="14342" width="42" style="555" customWidth="1"/>
    <col min="14343" max="14343" width="9.08984375" style="555"/>
    <col min="14344" max="14344" width="15.6328125" style="555" customWidth="1"/>
    <col min="14345" max="14345" width="20.36328125" style="555" customWidth="1"/>
    <col min="14346" max="14354" width="0" style="555" hidden="1" customWidth="1"/>
    <col min="14355" max="14355" width="9.08984375" style="555"/>
    <col min="14356" max="14356" width="12.6328125" style="555" bestFit="1" customWidth="1"/>
    <col min="14357" max="14357" width="12" style="555" customWidth="1"/>
    <col min="14358" max="14596" width="9.08984375" style="555"/>
    <col min="14597" max="14597" width="6.08984375" style="555" customWidth="1"/>
    <col min="14598" max="14598" width="42" style="555" customWidth="1"/>
    <col min="14599" max="14599" width="9.08984375" style="555"/>
    <col min="14600" max="14600" width="15.6328125" style="555" customWidth="1"/>
    <col min="14601" max="14601" width="20.36328125" style="555" customWidth="1"/>
    <col min="14602" max="14610" width="0" style="555" hidden="1" customWidth="1"/>
    <col min="14611" max="14611" width="9.08984375" style="555"/>
    <col min="14612" max="14612" width="12.6328125" style="555" bestFit="1" customWidth="1"/>
    <col min="14613" max="14613" width="12" style="555" customWidth="1"/>
    <col min="14614" max="14852" width="9.08984375" style="555"/>
    <col min="14853" max="14853" width="6.08984375" style="555" customWidth="1"/>
    <col min="14854" max="14854" width="42" style="555" customWidth="1"/>
    <col min="14855" max="14855" width="9.08984375" style="555"/>
    <col min="14856" max="14856" width="15.6328125" style="555" customWidth="1"/>
    <col min="14857" max="14857" width="20.36328125" style="555" customWidth="1"/>
    <col min="14858" max="14866" width="0" style="555" hidden="1" customWidth="1"/>
    <col min="14867" max="14867" width="9.08984375" style="555"/>
    <col min="14868" max="14868" width="12.6328125" style="555" bestFit="1" customWidth="1"/>
    <col min="14869" max="14869" width="12" style="555" customWidth="1"/>
    <col min="14870" max="15108" width="9.08984375" style="555"/>
    <col min="15109" max="15109" width="6.08984375" style="555" customWidth="1"/>
    <col min="15110" max="15110" width="42" style="555" customWidth="1"/>
    <col min="15111" max="15111" width="9.08984375" style="555"/>
    <col min="15112" max="15112" width="15.6328125" style="555" customWidth="1"/>
    <col min="15113" max="15113" width="20.36328125" style="555" customWidth="1"/>
    <col min="15114" max="15122" width="0" style="555" hidden="1" customWidth="1"/>
    <col min="15123" max="15123" width="9.08984375" style="555"/>
    <col min="15124" max="15124" width="12.6328125" style="555" bestFit="1" customWidth="1"/>
    <col min="15125" max="15125" width="12" style="555" customWidth="1"/>
    <col min="15126" max="15364" width="9.08984375" style="555"/>
    <col min="15365" max="15365" width="6.08984375" style="555" customWidth="1"/>
    <col min="15366" max="15366" width="42" style="555" customWidth="1"/>
    <col min="15367" max="15367" width="9.08984375" style="555"/>
    <col min="15368" max="15368" width="15.6328125" style="555" customWidth="1"/>
    <col min="15369" max="15369" width="20.36328125" style="555" customWidth="1"/>
    <col min="15370" max="15378" width="0" style="555" hidden="1" customWidth="1"/>
    <col min="15379" max="15379" width="9.08984375" style="555"/>
    <col min="15380" max="15380" width="12.6328125" style="555" bestFit="1" customWidth="1"/>
    <col min="15381" max="15381" width="12" style="555" customWidth="1"/>
    <col min="15382" max="15620" width="9.08984375" style="555"/>
    <col min="15621" max="15621" width="6.08984375" style="555" customWidth="1"/>
    <col min="15622" max="15622" width="42" style="555" customWidth="1"/>
    <col min="15623" max="15623" width="9.08984375" style="555"/>
    <col min="15624" max="15624" width="15.6328125" style="555" customWidth="1"/>
    <col min="15625" max="15625" width="20.36328125" style="555" customWidth="1"/>
    <col min="15626" max="15634" width="0" style="555" hidden="1" customWidth="1"/>
    <col min="15635" max="15635" width="9.08984375" style="555"/>
    <col min="15636" max="15636" width="12.6328125" style="555" bestFit="1" customWidth="1"/>
    <col min="15637" max="15637" width="12" style="555" customWidth="1"/>
    <col min="15638" max="15876" width="9.08984375" style="555"/>
    <col min="15877" max="15877" width="6.08984375" style="555" customWidth="1"/>
    <col min="15878" max="15878" width="42" style="555" customWidth="1"/>
    <col min="15879" max="15879" width="9.08984375" style="555"/>
    <col min="15880" max="15880" width="15.6328125" style="555" customWidth="1"/>
    <col min="15881" max="15881" width="20.36328125" style="555" customWidth="1"/>
    <col min="15882" max="15890" width="0" style="555" hidden="1" customWidth="1"/>
    <col min="15891" max="15891" width="9.08984375" style="555"/>
    <col min="15892" max="15892" width="12.6328125" style="555" bestFit="1" customWidth="1"/>
    <col min="15893" max="15893" width="12" style="555" customWidth="1"/>
    <col min="15894" max="16132" width="9.08984375" style="555"/>
    <col min="16133" max="16133" width="6.08984375" style="555" customWidth="1"/>
    <col min="16134" max="16134" width="42" style="555" customWidth="1"/>
    <col min="16135" max="16135" width="9.08984375" style="555"/>
    <col min="16136" max="16136" width="15.6328125" style="555" customWidth="1"/>
    <col min="16137" max="16137" width="20.36328125" style="555" customWidth="1"/>
    <col min="16138" max="16146" width="0" style="555" hidden="1" customWidth="1"/>
    <col min="16147" max="16147" width="9.08984375" style="555"/>
    <col min="16148" max="16148" width="12.6328125" style="555" bestFit="1" customWidth="1"/>
    <col min="16149" max="16149" width="12" style="555" customWidth="1"/>
    <col min="16150" max="16384" width="9.08984375" style="555"/>
  </cols>
  <sheetData>
    <row r="1" spans="1:22" ht="16.5" x14ac:dyDescent="0.35">
      <c r="A1" s="693" t="s">
        <v>568</v>
      </c>
      <c r="B1" s="693"/>
      <c r="C1" s="573"/>
      <c r="D1" s="573"/>
      <c r="E1" s="573"/>
      <c r="F1" s="553"/>
      <c r="G1" s="553"/>
      <c r="H1" s="553"/>
      <c r="I1" s="554"/>
    </row>
    <row r="2" spans="1:22" ht="16.5" x14ac:dyDescent="0.35">
      <c r="A2" s="688" t="s">
        <v>569</v>
      </c>
      <c r="B2" s="688"/>
      <c r="C2" s="556"/>
      <c r="D2" s="556"/>
      <c r="E2" s="556"/>
      <c r="F2" s="553"/>
      <c r="G2" s="694"/>
      <c r="H2" s="694"/>
      <c r="I2" s="554"/>
    </row>
    <row r="3" spans="1:22" ht="16.5" x14ac:dyDescent="0.35">
      <c r="A3" s="556"/>
      <c r="B3" s="556"/>
      <c r="C3" s="556"/>
      <c r="D3" s="556"/>
      <c r="E3" s="556"/>
      <c r="F3" s="553"/>
      <c r="G3" s="557"/>
      <c r="H3" s="557"/>
      <c r="I3" s="554"/>
    </row>
    <row r="4" spans="1:22" ht="16.5" x14ac:dyDescent="0.35">
      <c r="A4" s="695" t="s">
        <v>570</v>
      </c>
      <c r="B4" s="695"/>
      <c r="C4" s="695"/>
      <c r="D4" s="695"/>
      <c r="E4" s="695"/>
      <c r="F4" s="695"/>
      <c r="G4" s="695"/>
      <c r="H4" s="695"/>
      <c r="I4" s="554"/>
    </row>
    <row r="5" spans="1:22" ht="16.5" x14ac:dyDescent="0.35">
      <c r="A5" s="696"/>
      <c r="B5" s="696"/>
      <c r="C5" s="696"/>
      <c r="D5" s="696"/>
      <c r="E5" s="696"/>
      <c r="F5" s="696"/>
      <c r="G5" s="696"/>
      <c r="H5" s="696"/>
      <c r="I5" s="554"/>
    </row>
    <row r="6" spans="1:22" ht="49.5" customHeight="1" x14ac:dyDescent="0.35">
      <c r="A6" s="558" t="s">
        <v>2</v>
      </c>
      <c r="B6" s="558" t="s">
        <v>68</v>
      </c>
      <c r="C6" s="697" t="s">
        <v>607</v>
      </c>
      <c r="D6" s="698"/>
      <c r="E6" s="699"/>
      <c r="F6" s="700" t="s">
        <v>608</v>
      </c>
      <c r="G6" s="701"/>
      <c r="H6" s="702"/>
      <c r="I6" s="554"/>
      <c r="P6" s="555" t="s">
        <v>574</v>
      </c>
    </row>
    <row r="7" spans="1:22" ht="82.5" x14ac:dyDescent="0.35">
      <c r="A7" s="558"/>
      <c r="B7" s="558"/>
      <c r="C7" s="559" t="s">
        <v>571</v>
      </c>
      <c r="D7" s="559" t="s">
        <v>572</v>
      </c>
      <c r="E7" s="559" t="s">
        <v>573</v>
      </c>
      <c r="F7" s="559" t="s">
        <v>571</v>
      </c>
      <c r="G7" s="559" t="s">
        <v>572</v>
      </c>
      <c r="H7" s="559" t="s">
        <v>573</v>
      </c>
      <c r="I7" s="554"/>
    </row>
    <row r="8" spans="1:22" ht="16.5" x14ac:dyDescent="0.35">
      <c r="A8" s="558" t="s">
        <v>8</v>
      </c>
      <c r="B8" s="559" t="s">
        <v>575</v>
      </c>
      <c r="C8" s="585"/>
      <c r="D8" s="586"/>
      <c r="E8" s="587">
        <v>238046096000</v>
      </c>
      <c r="F8" s="588"/>
      <c r="G8" s="589"/>
      <c r="H8" s="587">
        <f>+H9+H12+H24</f>
        <v>264732203750</v>
      </c>
      <c r="I8" s="560">
        <f>H8/1000000</f>
        <v>264732.20374999999</v>
      </c>
      <c r="J8" s="561">
        <f>H8-H21-H22</f>
        <v>278938985000</v>
      </c>
      <c r="N8" s="562">
        <v>39320000</v>
      </c>
      <c r="O8" s="562">
        <v>43480000</v>
      </c>
      <c r="P8" s="563"/>
      <c r="R8" s="566">
        <f>H8/1000000</f>
        <v>264732.20374999999</v>
      </c>
      <c r="S8" s="566"/>
    </row>
    <row r="9" spans="1:22" ht="16.5" x14ac:dyDescent="0.35">
      <c r="A9" s="558">
        <v>1</v>
      </c>
      <c r="B9" s="579" t="s">
        <v>576</v>
      </c>
      <c r="C9" s="590">
        <v>160</v>
      </c>
      <c r="D9" s="586"/>
      <c r="E9" s="587">
        <v>3441000000</v>
      </c>
      <c r="F9" s="591">
        <f>SUM(F10:F11)</f>
        <v>160</v>
      </c>
      <c r="G9" s="592"/>
      <c r="H9" s="593">
        <f>H10+H11</f>
        <v>3441000000</v>
      </c>
      <c r="I9" s="560">
        <f t="shared" ref="I9:I36" si="0">H9/1000000</f>
        <v>3441</v>
      </c>
      <c r="N9" s="562">
        <f>+N8/2</f>
        <v>19660000</v>
      </c>
      <c r="O9" s="562">
        <f>+O8/2</f>
        <v>21740000</v>
      </c>
      <c r="P9" s="563">
        <f>(N9+O9)/2</f>
        <v>20700000</v>
      </c>
      <c r="R9" s="566">
        <f t="shared" ref="R9:R36" si="1">H9/1000000</f>
        <v>3441</v>
      </c>
      <c r="S9" s="566"/>
    </row>
    <row r="10" spans="1:22" ht="16.5" x14ac:dyDescent="0.35">
      <c r="A10" s="564" t="s">
        <v>319</v>
      </c>
      <c r="B10" s="584" t="s">
        <v>577</v>
      </c>
      <c r="C10" s="594">
        <v>30</v>
      </c>
      <c r="D10" s="595">
        <v>25000000</v>
      </c>
      <c r="E10" s="587">
        <v>750000000</v>
      </c>
      <c r="F10" s="596">
        <v>30</v>
      </c>
      <c r="G10" s="592">
        <v>25000000</v>
      </c>
      <c r="H10" s="592">
        <f>+F10*G10</f>
        <v>750000000</v>
      </c>
      <c r="I10" s="560">
        <f t="shared" si="0"/>
        <v>750</v>
      </c>
      <c r="N10" s="562"/>
      <c r="O10" s="562"/>
      <c r="R10" s="566">
        <f t="shared" si="1"/>
        <v>750</v>
      </c>
      <c r="S10" s="566"/>
    </row>
    <row r="11" spans="1:22" ht="16.5" x14ac:dyDescent="0.35">
      <c r="A11" s="564" t="s">
        <v>321</v>
      </c>
      <c r="B11" s="584" t="s">
        <v>578</v>
      </c>
      <c r="C11" s="594">
        <v>130</v>
      </c>
      <c r="D11" s="595">
        <v>20700000</v>
      </c>
      <c r="E11" s="587">
        <v>2691000000</v>
      </c>
      <c r="F11" s="596">
        <v>130</v>
      </c>
      <c r="G11" s="597">
        <f>+(19660000+21740000)/2</f>
        <v>20700000</v>
      </c>
      <c r="H11" s="592">
        <f>+F11*G11</f>
        <v>2691000000</v>
      </c>
      <c r="I11" s="560">
        <f t="shared" si="0"/>
        <v>2691</v>
      </c>
      <c r="N11" s="562"/>
      <c r="O11" s="562"/>
      <c r="R11" s="566">
        <f t="shared" si="1"/>
        <v>2691</v>
      </c>
      <c r="S11" s="566"/>
    </row>
    <row r="12" spans="1:22" ht="30" customHeight="1" x14ac:dyDescent="0.35">
      <c r="A12" s="558">
        <v>2</v>
      </c>
      <c r="B12" s="581" t="s">
        <v>579</v>
      </c>
      <c r="C12" s="598">
        <v>17747</v>
      </c>
      <c r="D12" s="586"/>
      <c r="E12" s="587">
        <v>221242736000</v>
      </c>
      <c r="F12" s="591">
        <f>+F13+F17</f>
        <v>17666</v>
      </c>
      <c r="G12" s="597"/>
      <c r="H12" s="593">
        <f>H13+H17+H21+H22+H23</f>
        <v>247928843750</v>
      </c>
      <c r="I12" s="560">
        <f t="shared" si="0"/>
        <v>247928.84375</v>
      </c>
      <c r="J12" s="561">
        <f>H12-H21-H22</f>
        <v>262135625000</v>
      </c>
      <c r="N12" s="562"/>
      <c r="O12" s="562"/>
      <c r="R12" s="566">
        <f t="shared" si="1"/>
        <v>247928.84375</v>
      </c>
      <c r="S12" s="566"/>
      <c r="T12" s="561">
        <f>E12-E21-E22-E23</f>
        <v>231350800000</v>
      </c>
    </row>
    <row r="13" spans="1:22" ht="16.5" x14ac:dyDescent="0.35">
      <c r="A13" s="565" t="s">
        <v>332</v>
      </c>
      <c r="B13" s="582" t="s">
        <v>580</v>
      </c>
      <c r="C13" s="599">
        <v>13952</v>
      </c>
      <c r="D13" s="600"/>
      <c r="E13" s="587">
        <v>182802300000</v>
      </c>
      <c r="F13" s="601">
        <f>SUM(F14:F16)</f>
        <v>13563</v>
      </c>
      <c r="G13" s="597"/>
      <c r="H13" s="602">
        <f>SUM(H14:H16)</f>
        <v>199307200000</v>
      </c>
      <c r="I13" s="560">
        <f t="shared" si="0"/>
        <v>199307.2</v>
      </c>
      <c r="N13" s="562"/>
      <c r="O13" s="562"/>
      <c r="R13" s="566">
        <f t="shared" si="1"/>
        <v>199307.2</v>
      </c>
      <c r="S13" s="566"/>
    </row>
    <row r="14" spans="1:22" ht="16.5" x14ac:dyDescent="0.35">
      <c r="A14" s="565"/>
      <c r="B14" s="583" t="s">
        <v>581</v>
      </c>
      <c r="C14" s="603">
        <v>2100</v>
      </c>
      <c r="D14" s="604">
        <v>7950000</v>
      </c>
      <c r="E14" s="587">
        <v>16695000000</v>
      </c>
      <c r="F14" s="601">
        <v>2100</v>
      </c>
      <c r="G14" s="605">
        <f>1895000*5</f>
        <v>9475000</v>
      </c>
      <c r="H14" s="606">
        <f>(F14*G14)</f>
        <v>19897500000</v>
      </c>
      <c r="I14" s="560"/>
      <c r="N14" s="562"/>
      <c r="O14" s="562"/>
      <c r="R14" s="566">
        <f t="shared" si="1"/>
        <v>19897.5</v>
      </c>
      <c r="S14" s="566"/>
      <c r="T14" s="555" t="s">
        <v>582</v>
      </c>
      <c r="U14" s="566">
        <v>7950000</v>
      </c>
      <c r="V14" s="555" t="s">
        <v>583</v>
      </c>
    </row>
    <row r="15" spans="1:22" ht="16.5" x14ac:dyDescent="0.35">
      <c r="A15" s="565"/>
      <c r="B15" s="583" t="s">
        <v>584</v>
      </c>
      <c r="C15" s="603">
        <v>9042</v>
      </c>
      <c r="D15" s="604">
        <v>15900000</v>
      </c>
      <c r="E15" s="587">
        <v>143767800000</v>
      </c>
      <c r="F15" s="601">
        <v>8126</v>
      </c>
      <c r="G15" s="605">
        <f>+G14+(17425000/2)</f>
        <v>18187500</v>
      </c>
      <c r="H15" s="606">
        <f>(F15*G15)</f>
        <v>147791625000</v>
      </c>
      <c r="I15" s="560">
        <f t="shared" si="0"/>
        <v>147791.625</v>
      </c>
      <c r="K15" s="561">
        <f>3%*J12</f>
        <v>7864068750</v>
      </c>
      <c r="R15" s="566">
        <f t="shared" si="1"/>
        <v>147791.625</v>
      </c>
      <c r="S15" s="566"/>
      <c r="U15" s="566">
        <f>G14+U14</f>
        <v>17425000</v>
      </c>
      <c r="V15" s="555" t="s">
        <v>585</v>
      </c>
    </row>
    <row r="16" spans="1:22" ht="16.5" x14ac:dyDescent="0.35">
      <c r="A16" s="565"/>
      <c r="B16" s="583" t="s">
        <v>586</v>
      </c>
      <c r="C16" s="603">
        <v>2810</v>
      </c>
      <c r="D16" s="604">
        <v>7950000</v>
      </c>
      <c r="E16" s="587">
        <v>22339500000</v>
      </c>
      <c r="F16" s="601">
        <v>3337</v>
      </c>
      <c r="G16" s="605">
        <f>1895000*5</f>
        <v>9475000</v>
      </c>
      <c r="H16" s="606">
        <f>(F16*G16)</f>
        <v>31618075000</v>
      </c>
      <c r="I16" s="560">
        <f t="shared" si="0"/>
        <v>31618.075000000001</v>
      </c>
      <c r="R16" s="566">
        <f t="shared" si="1"/>
        <v>31618.075000000001</v>
      </c>
      <c r="S16" s="566"/>
      <c r="U16" s="566">
        <f>+G14+(U15/2)</f>
        <v>18187500</v>
      </c>
      <c r="V16" s="555" t="s">
        <v>587</v>
      </c>
    </row>
    <row r="17" spans="1:22" ht="16.5" x14ac:dyDescent="0.35">
      <c r="A17" s="567" t="s">
        <v>334</v>
      </c>
      <c r="B17" s="568" t="s">
        <v>588</v>
      </c>
      <c r="C17" s="607">
        <v>3795</v>
      </c>
      <c r="D17" s="608"/>
      <c r="E17" s="587">
        <v>48548500000</v>
      </c>
      <c r="F17" s="601">
        <f>SUM(F18:F20)</f>
        <v>4103</v>
      </c>
      <c r="G17" s="597"/>
      <c r="H17" s="602">
        <f>SUM(H18:H20)</f>
        <v>52828425000</v>
      </c>
      <c r="I17" s="560">
        <f t="shared" si="0"/>
        <v>52828.425000000003</v>
      </c>
      <c r="K17" s="569">
        <f>F16+F20</f>
        <v>4505</v>
      </c>
      <c r="R17" s="566">
        <f t="shared" si="1"/>
        <v>52828.425000000003</v>
      </c>
      <c r="S17" s="566"/>
      <c r="U17" s="566"/>
    </row>
    <row r="18" spans="1:22" ht="16.5" x14ac:dyDescent="0.35">
      <c r="A18" s="567"/>
      <c r="B18" s="583" t="s">
        <v>589</v>
      </c>
      <c r="C18" s="603">
        <v>885</v>
      </c>
      <c r="D18" s="604">
        <v>14300000</v>
      </c>
      <c r="E18" s="587">
        <v>12655500000</v>
      </c>
      <c r="F18" s="601">
        <v>1239</v>
      </c>
      <c r="G18" s="605">
        <f>+G20+(14750000/2)</f>
        <v>14975000</v>
      </c>
      <c r="H18" s="606">
        <f>(F18*G18)</f>
        <v>18554025000</v>
      </c>
      <c r="I18" s="560"/>
      <c r="R18" s="566">
        <f t="shared" si="1"/>
        <v>18554.025000000001</v>
      </c>
      <c r="S18" s="566"/>
      <c r="T18" s="555" t="s">
        <v>590</v>
      </c>
      <c r="U18" s="566">
        <v>7150000</v>
      </c>
      <c r="V18" s="555" t="s">
        <v>583</v>
      </c>
    </row>
    <row r="19" spans="1:22" ht="16.5" x14ac:dyDescent="0.35">
      <c r="A19" s="567"/>
      <c r="B19" s="583" t="s">
        <v>591</v>
      </c>
      <c r="C19" s="603">
        <v>2110</v>
      </c>
      <c r="D19" s="604">
        <v>14300000</v>
      </c>
      <c r="E19" s="587">
        <v>30173000000</v>
      </c>
      <c r="F19" s="601">
        <v>1696</v>
      </c>
      <c r="G19" s="605">
        <f>G18</f>
        <v>14975000</v>
      </c>
      <c r="H19" s="606">
        <f>(F19*G19)</f>
        <v>25397600000</v>
      </c>
      <c r="I19" s="560">
        <f t="shared" si="0"/>
        <v>25397.599999999999</v>
      </c>
      <c r="K19" s="569">
        <f>+F19+F18</f>
        <v>2935</v>
      </c>
      <c r="R19" s="566">
        <f t="shared" si="1"/>
        <v>25397.599999999999</v>
      </c>
      <c r="S19" s="566"/>
      <c r="U19" s="566">
        <f>G20+U18</f>
        <v>14750000</v>
      </c>
      <c r="V19" s="555" t="s">
        <v>585</v>
      </c>
    </row>
    <row r="20" spans="1:22" ht="16.5" x14ac:dyDescent="0.35">
      <c r="A20" s="567"/>
      <c r="B20" s="583" t="s">
        <v>586</v>
      </c>
      <c r="C20" s="603">
        <v>800</v>
      </c>
      <c r="D20" s="604">
        <v>7150000</v>
      </c>
      <c r="E20" s="587">
        <v>5720000000</v>
      </c>
      <c r="F20" s="601">
        <v>1168</v>
      </c>
      <c r="G20" s="605">
        <f>1520000*5</f>
        <v>7600000</v>
      </c>
      <c r="H20" s="606">
        <f>(F20*G20)</f>
        <v>8876800000</v>
      </c>
      <c r="I20" s="560">
        <f t="shared" si="0"/>
        <v>8876.7999999999993</v>
      </c>
      <c r="R20" s="566">
        <f t="shared" si="1"/>
        <v>8876.7999999999993</v>
      </c>
      <c r="S20" s="566"/>
      <c r="U20" s="566">
        <f>G20+(U19/2)</f>
        <v>14975000</v>
      </c>
      <c r="V20" s="555" t="s">
        <v>587</v>
      </c>
    </row>
    <row r="21" spans="1:22" ht="33" x14ac:dyDescent="0.35">
      <c r="A21" s="564" t="s">
        <v>365</v>
      </c>
      <c r="B21" s="570" t="s">
        <v>609</v>
      </c>
      <c r="C21" s="609"/>
      <c r="D21" s="610"/>
      <c r="E21" s="602">
        <v>-18508064000</v>
      </c>
      <c r="F21" s="611"/>
      <c r="G21" s="612"/>
      <c r="H21" s="602">
        <f>-(H13+H17)*5%</f>
        <v>-12606781250</v>
      </c>
      <c r="I21" s="560">
        <f t="shared" si="0"/>
        <v>-12606.78125</v>
      </c>
      <c r="R21" s="566">
        <f t="shared" si="1"/>
        <v>-12606.78125</v>
      </c>
      <c r="S21" s="566"/>
    </row>
    <row r="22" spans="1:22" ht="16.5" x14ac:dyDescent="0.35">
      <c r="A22" s="564" t="s">
        <v>336</v>
      </c>
      <c r="B22" s="571" t="s">
        <v>592</v>
      </c>
      <c r="C22" s="613"/>
      <c r="D22" s="614"/>
      <c r="E22" s="602">
        <v>-1600000000</v>
      </c>
      <c r="F22" s="611"/>
      <c r="G22" s="612"/>
      <c r="H22" s="602">
        <v>-1600000000</v>
      </c>
      <c r="I22" s="560">
        <f t="shared" si="0"/>
        <v>-1600</v>
      </c>
      <c r="R22" s="566">
        <f t="shared" si="1"/>
        <v>-1600</v>
      </c>
      <c r="S22" s="566"/>
    </row>
    <row r="23" spans="1:22" ht="16.5" x14ac:dyDescent="0.35">
      <c r="A23" s="564" t="s">
        <v>338</v>
      </c>
      <c r="B23" s="570" t="s">
        <v>330</v>
      </c>
      <c r="C23" s="609"/>
      <c r="D23" s="610"/>
      <c r="E23" s="587">
        <v>10000000000</v>
      </c>
      <c r="F23" s="611"/>
      <c r="G23" s="612"/>
      <c r="H23" s="602">
        <v>10000000000</v>
      </c>
      <c r="I23" s="560">
        <f t="shared" si="0"/>
        <v>10000</v>
      </c>
      <c r="R23" s="566">
        <f t="shared" si="1"/>
        <v>10000</v>
      </c>
      <c r="S23" s="566"/>
    </row>
    <row r="24" spans="1:22" ht="16.5" x14ac:dyDescent="0.35">
      <c r="A24" s="558">
        <v>3</v>
      </c>
      <c r="B24" s="581" t="s">
        <v>593</v>
      </c>
      <c r="C24" s="598">
        <v>1300</v>
      </c>
      <c r="D24" s="586"/>
      <c r="E24" s="587">
        <v>13362360000</v>
      </c>
      <c r="F24" s="611">
        <v>1300</v>
      </c>
      <c r="G24" s="612"/>
      <c r="H24" s="612">
        <f>SUM(H25:H26)</f>
        <v>13362360000</v>
      </c>
      <c r="I24" s="560">
        <f t="shared" si="0"/>
        <v>13362.36</v>
      </c>
      <c r="R24" s="566">
        <f t="shared" si="1"/>
        <v>13362.36</v>
      </c>
      <c r="S24" s="566"/>
    </row>
    <row r="25" spans="1:22" ht="16.5" x14ac:dyDescent="0.35">
      <c r="A25" s="564"/>
      <c r="B25" s="571" t="s">
        <v>594</v>
      </c>
      <c r="C25" s="615">
        <v>500</v>
      </c>
      <c r="D25" s="616">
        <v>17490000</v>
      </c>
      <c r="E25" s="587">
        <v>8745000000</v>
      </c>
      <c r="F25" s="615">
        <v>500</v>
      </c>
      <c r="G25" s="616">
        <v>17490000</v>
      </c>
      <c r="H25" s="597">
        <f>+(F25*G25)</f>
        <v>8745000000</v>
      </c>
      <c r="I25" s="560">
        <f t="shared" si="0"/>
        <v>8745</v>
      </c>
      <c r="R25" s="566">
        <f t="shared" si="1"/>
        <v>8745</v>
      </c>
      <c r="S25" s="566"/>
    </row>
    <row r="26" spans="1:22" ht="16.5" x14ac:dyDescent="0.35">
      <c r="A26" s="564"/>
      <c r="B26" s="571" t="s">
        <v>595</v>
      </c>
      <c r="C26" s="615">
        <v>800</v>
      </c>
      <c r="D26" s="616">
        <v>5771700</v>
      </c>
      <c r="E26" s="587">
        <v>4617360000</v>
      </c>
      <c r="F26" s="615">
        <v>800</v>
      </c>
      <c r="G26" s="616">
        <v>5771700</v>
      </c>
      <c r="H26" s="597">
        <f>+(F26*G26)</f>
        <v>4617360000</v>
      </c>
      <c r="I26" s="560">
        <f t="shared" si="0"/>
        <v>4617.3599999999997</v>
      </c>
      <c r="R26" s="566">
        <f t="shared" si="1"/>
        <v>4617.3599999999997</v>
      </c>
      <c r="S26" s="566"/>
    </row>
    <row r="27" spans="1:22" ht="24" customHeight="1" x14ac:dyDescent="0.35">
      <c r="A27" s="558" t="s">
        <v>81</v>
      </c>
      <c r="B27" s="559" t="s">
        <v>596</v>
      </c>
      <c r="C27" s="585"/>
      <c r="D27" s="586"/>
      <c r="E27" s="587">
        <v>1390216500</v>
      </c>
      <c r="F27" s="591"/>
      <c r="G27" s="618"/>
      <c r="H27" s="618">
        <f>+H28+H29+H34</f>
        <v>1390216500</v>
      </c>
      <c r="I27" s="560">
        <f t="shared" si="0"/>
        <v>1390.2165</v>
      </c>
      <c r="R27" s="566">
        <f t="shared" si="1"/>
        <v>1390.2165</v>
      </c>
      <c r="S27" s="566"/>
    </row>
    <row r="28" spans="1:22" ht="16.5" x14ac:dyDescent="0.35">
      <c r="A28" s="558">
        <v>1</v>
      </c>
      <c r="B28" s="579" t="s">
        <v>597</v>
      </c>
      <c r="C28" s="590"/>
      <c r="D28" s="586"/>
      <c r="E28" s="587">
        <v>800000000</v>
      </c>
      <c r="F28" s="611"/>
      <c r="G28" s="618"/>
      <c r="H28" s="618">
        <v>800000000</v>
      </c>
      <c r="I28" s="560">
        <f t="shared" si="0"/>
        <v>800</v>
      </c>
      <c r="R28" s="566">
        <f t="shared" si="1"/>
        <v>800</v>
      </c>
      <c r="S28" s="566"/>
    </row>
    <row r="29" spans="1:22" ht="16.5" x14ac:dyDescent="0.35">
      <c r="A29" s="558">
        <v>2</v>
      </c>
      <c r="B29" s="579" t="s">
        <v>598</v>
      </c>
      <c r="C29" s="590"/>
      <c r="D29" s="586"/>
      <c r="E29" s="587">
        <v>510216500</v>
      </c>
      <c r="F29" s="611"/>
      <c r="G29" s="618"/>
      <c r="H29" s="618">
        <f>SUM(H30:H33)</f>
        <v>510216500</v>
      </c>
      <c r="I29" s="560">
        <f t="shared" si="0"/>
        <v>510.2165</v>
      </c>
      <c r="R29" s="566">
        <f t="shared" si="1"/>
        <v>510.2165</v>
      </c>
      <c r="S29" s="566"/>
    </row>
    <row r="30" spans="1:22" ht="16.5" x14ac:dyDescent="0.35">
      <c r="A30" s="558"/>
      <c r="B30" s="580" t="s">
        <v>599</v>
      </c>
      <c r="C30" s="619">
        <v>1000</v>
      </c>
      <c r="D30" s="595">
        <v>100000</v>
      </c>
      <c r="E30" s="587">
        <v>100000000</v>
      </c>
      <c r="F30" s="617">
        <v>1000</v>
      </c>
      <c r="G30" s="597">
        <v>100000</v>
      </c>
      <c r="H30" s="597">
        <f>F30*G30</f>
        <v>100000000</v>
      </c>
      <c r="I30" s="560">
        <f t="shared" si="0"/>
        <v>100</v>
      </c>
      <c r="R30" s="566">
        <f t="shared" si="1"/>
        <v>100</v>
      </c>
      <c r="S30" s="566"/>
    </row>
    <row r="31" spans="1:22" ht="16.5" x14ac:dyDescent="0.35">
      <c r="A31" s="558"/>
      <c r="B31" s="580" t="s">
        <v>600</v>
      </c>
      <c r="C31" s="619">
        <v>36403</v>
      </c>
      <c r="D31" s="595">
        <v>5500</v>
      </c>
      <c r="E31" s="587">
        <v>200216500</v>
      </c>
      <c r="F31" s="617">
        <f>36004+399</f>
        <v>36403</v>
      </c>
      <c r="G31" s="597">
        <v>5500</v>
      </c>
      <c r="H31" s="597">
        <f>G31*F31</f>
        <v>200216500</v>
      </c>
      <c r="I31" s="560">
        <f t="shared" si="0"/>
        <v>200.2165</v>
      </c>
      <c r="R31" s="566">
        <f t="shared" si="1"/>
        <v>200.2165</v>
      </c>
      <c r="S31" s="566"/>
    </row>
    <row r="32" spans="1:22" ht="16.5" x14ac:dyDescent="0.35">
      <c r="A32" s="558"/>
      <c r="B32" s="580" t="s">
        <v>601</v>
      </c>
      <c r="C32" s="619">
        <v>500</v>
      </c>
      <c r="D32" s="595">
        <v>300000</v>
      </c>
      <c r="E32" s="587">
        <v>150000000</v>
      </c>
      <c r="F32" s="617">
        <v>500</v>
      </c>
      <c r="G32" s="597">
        <v>300000</v>
      </c>
      <c r="H32" s="597">
        <f>F32*G32</f>
        <v>150000000</v>
      </c>
      <c r="I32" s="560">
        <f t="shared" si="0"/>
        <v>150</v>
      </c>
      <c r="R32" s="566">
        <f t="shared" si="1"/>
        <v>150</v>
      </c>
      <c r="S32" s="566"/>
    </row>
    <row r="33" spans="1:19" ht="16.5" x14ac:dyDescent="0.35">
      <c r="A33" s="564"/>
      <c r="B33" s="580" t="s">
        <v>602</v>
      </c>
      <c r="C33" s="619">
        <v>120</v>
      </c>
      <c r="D33" s="595">
        <v>500000</v>
      </c>
      <c r="E33" s="587">
        <v>60000000</v>
      </c>
      <c r="F33" s="596">
        <f>+H33/G33</f>
        <v>120</v>
      </c>
      <c r="G33" s="597">
        <v>500000</v>
      </c>
      <c r="H33" s="592">
        <v>60000000</v>
      </c>
      <c r="I33" s="560">
        <f t="shared" si="0"/>
        <v>60</v>
      </c>
      <c r="R33" s="566">
        <f t="shared" si="1"/>
        <v>60</v>
      </c>
      <c r="S33" s="566"/>
    </row>
    <row r="34" spans="1:19" ht="16.5" x14ac:dyDescent="0.35">
      <c r="A34" s="558">
        <v>3</v>
      </c>
      <c r="B34" s="579" t="s">
        <v>337</v>
      </c>
      <c r="C34" s="590"/>
      <c r="D34" s="586"/>
      <c r="E34" s="587">
        <v>80000000</v>
      </c>
      <c r="F34" s="591"/>
      <c r="G34" s="598"/>
      <c r="H34" s="593">
        <v>80000000</v>
      </c>
      <c r="I34" s="560">
        <f t="shared" si="0"/>
        <v>80</v>
      </c>
      <c r="R34" s="566">
        <f t="shared" si="1"/>
        <v>80</v>
      </c>
      <c r="S34" s="566"/>
    </row>
    <row r="35" spans="1:19" ht="16.5" x14ac:dyDescent="0.35">
      <c r="A35" s="558" t="s">
        <v>117</v>
      </c>
      <c r="B35" s="559" t="s">
        <v>603</v>
      </c>
      <c r="C35" s="585">
        <v>100</v>
      </c>
      <c r="D35" s="586">
        <v>5000000</v>
      </c>
      <c r="E35" s="587">
        <v>500000000</v>
      </c>
      <c r="F35" s="596">
        <v>100</v>
      </c>
      <c r="G35" s="597">
        <v>5000000</v>
      </c>
      <c r="H35" s="593">
        <f>+F35*G35</f>
        <v>500000000</v>
      </c>
      <c r="I35" s="560">
        <f t="shared" si="0"/>
        <v>500</v>
      </c>
      <c r="R35" s="566">
        <f t="shared" si="1"/>
        <v>500</v>
      </c>
      <c r="S35" s="566"/>
    </row>
    <row r="36" spans="1:19" ht="16.5" x14ac:dyDescent="0.35">
      <c r="A36" s="572"/>
      <c r="B36" s="559" t="s">
        <v>604</v>
      </c>
      <c r="C36" s="589"/>
      <c r="D36" s="589"/>
      <c r="E36" s="586">
        <v>239936312500</v>
      </c>
      <c r="F36" s="591"/>
      <c r="G36" s="591"/>
      <c r="H36" s="586">
        <f>H8+H27+H35</f>
        <v>266622420250</v>
      </c>
      <c r="I36" s="560">
        <f t="shared" si="0"/>
        <v>266622.42025000002</v>
      </c>
      <c r="R36" s="566">
        <f t="shared" si="1"/>
        <v>266622.42025000002</v>
      </c>
      <c r="S36" s="566"/>
    </row>
    <row r="37" spans="1:19" ht="10.5" customHeight="1" x14ac:dyDescent="0.35">
      <c r="A37" s="573"/>
      <c r="B37" s="574"/>
      <c r="C37" s="574"/>
      <c r="D37" s="574"/>
      <c r="E37" s="574"/>
      <c r="F37" s="553"/>
      <c r="G37" s="575"/>
      <c r="H37" s="576"/>
      <c r="I37" s="554"/>
    </row>
    <row r="38" spans="1:19" ht="21" customHeight="1" x14ac:dyDescent="0.35">
      <c r="A38" s="573"/>
      <c r="B38" s="574"/>
      <c r="C38" s="574"/>
      <c r="D38" s="574"/>
      <c r="E38" s="574"/>
      <c r="F38" s="692"/>
      <c r="G38" s="692"/>
      <c r="H38" s="692"/>
      <c r="I38" s="554"/>
    </row>
    <row r="39" spans="1:19" ht="16.5" x14ac:dyDescent="0.35">
      <c r="A39" s="687"/>
      <c r="B39" s="687"/>
      <c r="C39" s="578"/>
      <c r="D39" s="578"/>
      <c r="E39" s="578"/>
      <c r="F39" s="688"/>
      <c r="G39" s="688"/>
      <c r="H39" s="688"/>
      <c r="I39" s="554"/>
    </row>
    <row r="40" spans="1:19" ht="16.5" x14ac:dyDescent="0.35">
      <c r="A40" s="689"/>
      <c r="B40" s="689"/>
      <c r="C40" s="577"/>
      <c r="D40" s="577"/>
      <c r="E40" s="577"/>
      <c r="F40" s="690">
        <f>E36-H36</f>
        <v>-26686107750</v>
      </c>
      <c r="G40" s="689"/>
      <c r="H40" s="689"/>
      <c r="I40" s="554"/>
    </row>
    <row r="41" spans="1:19" ht="16.5" x14ac:dyDescent="0.35">
      <c r="A41" s="577"/>
      <c r="B41" s="577"/>
      <c r="C41" s="577"/>
      <c r="D41" s="577"/>
      <c r="E41" s="577"/>
      <c r="F41" s="577"/>
      <c r="G41" s="577"/>
      <c r="H41" s="577"/>
      <c r="I41" s="554"/>
    </row>
    <row r="42" spans="1:19" ht="16.5" x14ac:dyDescent="0.35">
      <c r="A42" s="556"/>
      <c r="B42" s="556"/>
      <c r="C42" s="556"/>
      <c r="D42" s="556"/>
      <c r="E42" s="556"/>
      <c r="F42" s="553"/>
      <c r="G42" s="553"/>
      <c r="H42" s="553"/>
      <c r="I42" s="554"/>
    </row>
    <row r="43" spans="1:19" ht="16.5" x14ac:dyDescent="0.35">
      <c r="A43" s="573"/>
      <c r="B43" s="553"/>
      <c r="C43" s="553"/>
      <c r="D43" s="553"/>
      <c r="E43" s="553"/>
      <c r="F43" s="553"/>
      <c r="G43" s="553"/>
      <c r="H43" s="553"/>
      <c r="I43" s="554"/>
    </row>
    <row r="45" spans="1:19" ht="16.5" x14ac:dyDescent="0.35">
      <c r="F45" s="691" t="s">
        <v>605</v>
      </c>
      <c r="G45" s="691"/>
      <c r="H45" s="691"/>
    </row>
  </sheetData>
  <mergeCells count="13">
    <mergeCell ref="F38:H38"/>
    <mergeCell ref="A1:B1"/>
    <mergeCell ref="A2:B2"/>
    <mergeCell ref="G2:H2"/>
    <mergeCell ref="A4:H4"/>
    <mergeCell ref="A5:H5"/>
    <mergeCell ref="C6:E6"/>
    <mergeCell ref="F6:H6"/>
    <mergeCell ref="A39:B39"/>
    <mergeCell ref="F39:H39"/>
    <mergeCell ref="A40:B40"/>
    <mergeCell ref="F40:H40"/>
    <mergeCell ref="F45:H45"/>
  </mergeCells>
  <pageMargins left="0.82" right="0.52" top="0.59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FF00"/>
  </sheetPr>
  <dimension ref="A1:I116"/>
  <sheetViews>
    <sheetView zoomScale="115" zoomScaleNormal="115" workbookViewId="0">
      <selection activeCell="C8" sqref="C8"/>
    </sheetView>
  </sheetViews>
  <sheetFormatPr defaultRowHeight="15.5" x14ac:dyDescent="0.35"/>
  <cols>
    <col min="1" max="1" width="6.08984375" style="329" customWidth="1"/>
    <col min="2" max="2" width="35.6328125" style="330" customWidth="1"/>
    <col min="3" max="3" width="14.36328125" style="328" bestFit="1" customWidth="1"/>
    <col min="4" max="4" width="14" style="480" bestFit="1" customWidth="1"/>
    <col min="5" max="5" width="20.453125" style="328" customWidth="1"/>
    <col min="6" max="7" width="18.6328125" style="328" customWidth="1"/>
    <col min="8" max="251" width="9.08984375" style="328"/>
    <col min="252" max="252" width="6.08984375" style="328" customWidth="1"/>
    <col min="253" max="253" width="42.90625" style="328" customWidth="1"/>
    <col min="254" max="256" width="0" style="328" hidden="1" customWidth="1"/>
    <col min="257" max="257" width="14.36328125" style="328" customWidth="1"/>
    <col min="258" max="258" width="26.453125" style="328" customWidth="1"/>
    <col min="259" max="259" width="20.6328125" style="328" customWidth="1"/>
    <col min="260" max="260" width="22.54296875" style="328" customWidth="1"/>
    <col min="261" max="261" width="10.36328125" style="328" customWidth="1"/>
    <col min="262" max="263" width="18.6328125" style="328" customWidth="1"/>
    <col min="264" max="507" width="9.08984375" style="328"/>
    <col min="508" max="508" width="6.08984375" style="328" customWidth="1"/>
    <col min="509" max="509" width="42.90625" style="328" customWidth="1"/>
    <col min="510" max="512" width="0" style="328" hidden="1" customWidth="1"/>
    <col min="513" max="513" width="14.36328125" style="328" customWidth="1"/>
    <col min="514" max="514" width="26.453125" style="328" customWidth="1"/>
    <col min="515" max="515" width="20.6328125" style="328" customWidth="1"/>
    <col min="516" max="516" width="22.54296875" style="328" customWidth="1"/>
    <col min="517" max="517" width="10.36328125" style="328" customWidth="1"/>
    <col min="518" max="519" width="18.6328125" style="328" customWidth="1"/>
    <col min="520" max="763" width="9.08984375" style="328"/>
    <col min="764" max="764" width="6.08984375" style="328" customWidth="1"/>
    <col min="765" max="765" width="42.90625" style="328" customWidth="1"/>
    <col min="766" max="768" width="0" style="328" hidden="1" customWidth="1"/>
    <col min="769" max="769" width="14.36328125" style="328" customWidth="1"/>
    <col min="770" max="770" width="26.453125" style="328" customWidth="1"/>
    <col min="771" max="771" width="20.6328125" style="328" customWidth="1"/>
    <col min="772" max="772" width="22.54296875" style="328" customWidth="1"/>
    <col min="773" max="773" width="10.36328125" style="328" customWidth="1"/>
    <col min="774" max="775" width="18.6328125" style="328" customWidth="1"/>
    <col min="776" max="1019" width="9.08984375" style="328"/>
    <col min="1020" max="1020" width="6.08984375" style="328" customWidth="1"/>
    <col min="1021" max="1021" width="42.90625" style="328" customWidth="1"/>
    <col min="1022" max="1024" width="0" style="328" hidden="1" customWidth="1"/>
    <col min="1025" max="1025" width="14.36328125" style="328" customWidth="1"/>
    <col min="1026" max="1026" width="26.453125" style="328" customWidth="1"/>
    <col min="1027" max="1027" width="20.6328125" style="328" customWidth="1"/>
    <col min="1028" max="1028" width="22.54296875" style="328" customWidth="1"/>
    <col min="1029" max="1029" width="10.36328125" style="328" customWidth="1"/>
    <col min="1030" max="1031" width="18.6328125" style="328" customWidth="1"/>
    <col min="1032" max="1275" width="9.08984375" style="328"/>
    <col min="1276" max="1276" width="6.08984375" style="328" customWidth="1"/>
    <col min="1277" max="1277" width="42.90625" style="328" customWidth="1"/>
    <col min="1278" max="1280" width="0" style="328" hidden="1" customWidth="1"/>
    <col min="1281" max="1281" width="14.36328125" style="328" customWidth="1"/>
    <col min="1282" max="1282" width="26.453125" style="328" customWidth="1"/>
    <col min="1283" max="1283" width="20.6328125" style="328" customWidth="1"/>
    <col min="1284" max="1284" width="22.54296875" style="328" customWidth="1"/>
    <col min="1285" max="1285" width="10.36328125" style="328" customWidth="1"/>
    <col min="1286" max="1287" width="18.6328125" style="328" customWidth="1"/>
    <col min="1288" max="1531" width="9.08984375" style="328"/>
    <col min="1532" max="1532" width="6.08984375" style="328" customWidth="1"/>
    <col min="1533" max="1533" width="42.90625" style="328" customWidth="1"/>
    <col min="1534" max="1536" width="0" style="328" hidden="1" customWidth="1"/>
    <col min="1537" max="1537" width="14.36328125" style="328" customWidth="1"/>
    <col min="1538" max="1538" width="26.453125" style="328" customWidth="1"/>
    <col min="1539" max="1539" width="20.6328125" style="328" customWidth="1"/>
    <col min="1540" max="1540" width="22.54296875" style="328" customWidth="1"/>
    <col min="1541" max="1541" width="10.36328125" style="328" customWidth="1"/>
    <col min="1542" max="1543" width="18.6328125" style="328" customWidth="1"/>
    <col min="1544" max="1787" width="9.08984375" style="328"/>
    <col min="1788" max="1788" width="6.08984375" style="328" customWidth="1"/>
    <col min="1789" max="1789" width="42.90625" style="328" customWidth="1"/>
    <col min="1790" max="1792" width="0" style="328" hidden="1" customWidth="1"/>
    <col min="1793" max="1793" width="14.36328125" style="328" customWidth="1"/>
    <col min="1794" max="1794" width="26.453125" style="328" customWidth="1"/>
    <col min="1795" max="1795" width="20.6328125" style="328" customWidth="1"/>
    <col min="1796" max="1796" width="22.54296875" style="328" customWidth="1"/>
    <col min="1797" max="1797" width="10.36328125" style="328" customWidth="1"/>
    <col min="1798" max="1799" width="18.6328125" style="328" customWidth="1"/>
    <col min="1800" max="2043" width="9.08984375" style="328"/>
    <col min="2044" max="2044" width="6.08984375" style="328" customWidth="1"/>
    <col min="2045" max="2045" width="42.90625" style="328" customWidth="1"/>
    <col min="2046" max="2048" width="0" style="328" hidden="1" customWidth="1"/>
    <col min="2049" max="2049" width="14.36328125" style="328" customWidth="1"/>
    <col min="2050" max="2050" width="26.453125" style="328" customWidth="1"/>
    <col min="2051" max="2051" width="20.6328125" style="328" customWidth="1"/>
    <col min="2052" max="2052" width="22.54296875" style="328" customWidth="1"/>
    <col min="2053" max="2053" width="10.36328125" style="328" customWidth="1"/>
    <col min="2054" max="2055" width="18.6328125" style="328" customWidth="1"/>
    <col min="2056" max="2299" width="9.08984375" style="328"/>
    <col min="2300" max="2300" width="6.08984375" style="328" customWidth="1"/>
    <col min="2301" max="2301" width="42.90625" style="328" customWidth="1"/>
    <col min="2302" max="2304" width="0" style="328" hidden="1" customWidth="1"/>
    <col min="2305" max="2305" width="14.36328125" style="328" customWidth="1"/>
    <col min="2306" max="2306" width="26.453125" style="328" customWidth="1"/>
    <col min="2307" max="2307" width="20.6328125" style="328" customWidth="1"/>
    <col min="2308" max="2308" width="22.54296875" style="328" customWidth="1"/>
    <col min="2309" max="2309" width="10.36328125" style="328" customWidth="1"/>
    <col min="2310" max="2311" width="18.6328125" style="328" customWidth="1"/>
    <col min="2312" max="2555" width="9.08984375" style="328"/>
    <col min="2556" max="2556" width="6.08984375" style="328" customWidth="1"/>
    <col min="2557" max="2557" width="42.90625" style="328" customWidth="1"/>
    <col min="2558" max="2560" width="0" style="328" hidden="1" customWidth="1"/>
    <col min="2561" max="2561" width="14.36328125" style="328" customWidth="1"/>
    <col min="2562" max="2562" width="26.453125" style="328" customWidth="1"/>
    <col min="2563" max="2563" width="20.6328125" style="328" customWidth="1"/>
    <col min="2564" max="2564" width="22.54296875" style="328" customWidth="1"/>
    <col min="2565" max="2565" width="10.36328125" style="328" customWidth="1"/>
    <col min="2566" max="2567" width="18.6328125" style="328" customWidth="1"/>
    <col min="2568" max="2811" width="9.08984375" style="328"/>
    <col min="2812" max="2812" width="6.08984375" style="328" customWidth="1"/>
    <col min="2813" max="2813" width="42.90625" style="328" customWidth="1"/>
    <col min="2814" max="2816" width="0" style="328" hidden="1" customWidth="1"/>
    <col min="2817" max="2817" width="14.36328125" style="328" customWidth="1"/>
    <col min="2818" max="2818" width="26.453125" style="328" customWidth="1"/>
    <col min="2819" max="2819" width="20.6328125" style="328" customWidth="1"/>
    <col min="2820" max="2820" width="22.54296875" style="328" customWidth="1"/>
    <col min="2821" max="2821" width="10.36328125" style="328" customWidth="1"/>
    <col min="2822" max="2823" width="18.6328125" style="328" customWidth="1"/>
    <col min="2824" max="3067" width="9.08984375" style="328"/>
    <col min="3068" max="3068" width="6.08984375" style="328" customWidth="1"/>
    <col min="3069" max="3069" width="42.90625" style="328" customWidth="1"/>
    <col min="3070" max="3072" width="0" style="328" hidden="1" customWidth="1"/>
    <col min="3073" max="3073" width="14.36328125" style="328" customWidth="1"/>
    <col min="3074" max="3074" width="26.453125" style="328" customWidth="1"/>
    <col min="3075" max="3075" width="20.6328125" style="328" customWidth="1"/>
    <col min="3076" max="3076" width="22.54296875" style="328" customWidth="1"/>
    <col min="3077" max="3077" width="10.36328125" style="328" customWidth="1"/>
    <col min="3078" max="3079" width="18.6328125" style="328" customWidth="1"/>
    <col min="3080" max="3323" width="9.08984375" style="328"/>
    <col min="3324" max="3324" width="6.08984375" style="328" customWidth="1"/>
    <col min="3325" max="3325" width="42.90625" style="328" customWidth="1"/>
    <col min="3326" max="3328" width="0" style="328" hidden="1" customWidth="1"/>
    <col min="3329" max="3329" width="14.36328125" style="328" customWidth="1"/>
    <col min="3330" max="3330" width="26.453125" style="328" customWidth="1"/>
    <col min="3331" max="3331" width="20.6328125" style="328" customWidth="1"/>
    <col min="3332" max="3332" width="22.54296875" style="328" customWidth="1"/>
    <col min="3333" max="3333" width="10.36328125" style="328" customWidth="1"/>
    <col min="3334" max="3335" width="18.6328125" style="328" customWidth="1"/>
    <col min="3336" max="3579" width="9.08984375" style="328"/>
    <col min="3580" max="3580" width="6.08984375" style="328" customWidth="1"/>
    <col min="3581" max="3581" width="42.90625" style="328" customWidth="1"/>
    <col min="3582" max="3584" width="0" style="328" hidden="1" customWidth="1"/>
    <col min="3585" max="3585" width="14.36328125" style="328" customWidth="1"/>
    <col min="3586" max="3586" width="26.453125" style="328" customWidth="1"/>
    <col min="3587" max="3587" width="20.6328125" style="328" customWidth="1"/>
    <col min="3588" max="3588" width="22.54296875" style="328" customWidth="1"/>
    <col min="3589" max="3589" width="10.36328125" style="328" customWidth="1"/>
    <col min="3590" max="3591" width="18.6328125" style="328" customWidth="1"/>
    <col min="3592" max="3835" width="9.08984375" style="328"/>
    <col min="3836" max="3836" width="6.08984375" style="328" customWidth="1"/>
    <col min="3837" max="3837" width="42.90625" style="328" customWidth="1"/>
    <col min="3838" max="3840" width="0" style="328" hidden="1" customWidth="1"/>
    <col min="3841" max="3841" width="14.36328125" style="328" customWidth="1"/>
    <col min="3842" max="3842" width="26.453125" style="328" customWidth="1"/>
    <col min="3843" max="3843" width="20.6328125" style="328" customWidth="1"/>
    <col min="3844" max="3844" width="22.54296875" style="328" customWidth="1"/>
    <col min="3845" max="3845" width="10.36328125" style="328" customWidth="1"/>
    <col min="3846" max="3847" width="18.6328125" style="328" customWidth="1"/>
    <col min="3848" max="4091" width="9.08984375" style="328"/>
    <col min="4092" max="4092" width="6.08984375" style="328" customWidth="1"/>
    <col min="4093" max="4093" width="42.90625" style="328" customWidth="1"/>
    <col min="4094" max="4096" width="0" style="328" hidden="1" customWidth="1"/>
    <col min="4097" max="4097" width="14.36328125" style="328" customWidth="1"/>
    <col min="4098" max="4098" width="26.453125" style="328" customWidth="1"/>
    <col min="4099" max="4099" width="20.6328125" style="328" customWidth="1"/>
    <col min="4100" max="4100" width="22.54296875" style="328" customWidth="1"/>
    <col min="4101" max="4101" width="10.36328125" style="328" customWidth="1"/>
    <col min="4102" max="4103" width="18.6328125" style="328" customWidth="1"/>
    <col min="4104" max="4347" width="9.08984375" style="328"/>
    <col min="4348" max="4348" width="6.08984375" style="328" customWidth="1"/>
    <col min="4349" max="4349" width="42.90625" style="328" customWidth="1"/>
    <col min="4350" max="4352" width="0" style="328" hidden="1" customWidth="1"/>
    <col min="4353" max="4353" width="14.36328125" style="328" customWidth="1"/>
    <col min="4354" max="4354" width="26.453125" style="328" customWidth="1"/>
    <col min="4355" max="4355" width="20.6328125" style="328" customWidth="1"/>
    <col min="4356" max="4356" width="22.54296875" style="328" customWidth="1"/>
    <col min="4357" max="4357" width="10.36328125" style="328" customWidth="1"/>
    <col min="4358" max="4359" width="18.6328125" style="328" customWidth="1"/>
    <col min="4360" max="4603" width="9.08984375" style="328"/>
    <col min="4604" max="4604" width="6.08984375" style="328" customWidth="1"/>
    <col min="4605" max="4605" width="42.90625" style="328" customWidth="1"/>
    <col min="4606" max="4608" width="0" style="328" hidden="1" customWidth="1"/>
    <col min="4609" max="4609" width="14.36328125" style="328" customWidth="1"/>
    <col min="4610" max="4610" width="26.453125" style="328" customWidth="1"/>
    <col min="4611" max="4611" width="20.6328125" style="328" customWidth="1"/>
    <col min="4612" max="4612" width="22.54296875" style="328" customWidth="1"/>
    <col min="4613" max="4613" width="10.36328125" style="328" customWidth="1"/>
    <col min="4614" max="4615" width="18.6328125" style="328" customWidth="1"/>
    <col min="4616" max="4859" width="9.08984375" style="328"/>
    <col min="4860" max="4860" width="6.08984375" style="328" customWidth="1"/>
    <col min="4861" max="4861" width="42.90625" style="328" customWidth="1"/>
    <col min="4862" max="4864" width="0" style="328" hidden="1" customWidth="1"/>
    <col min="4865" max="4865" width="14.36328125" style="328" customWidth="1"/>
    <col min="4866" max="4866" width="26.453125" style="328" customWidth="1"/>
    <col min="4867" max="4867" width="20.6328125" style="328" customWidth="1"/>
    <col min="4868" max="4868" width="22.54296875" style="328" customWidth="1"/>
    <col min="4869" max="4869" width="10.36328125" style="328" customWidth="1"/>
    <col min="4870" max="4871" width="18.6328125" style="328" customWidth="1"/>
    <col min="4872" max="5115" width="9.08984375" style="328"/>
    <col min="5116" max="5116" width="6.08984375" style="328" customWidth="1"/>
    <col min="5117" max="5117" width="42.90625" style="328" customWidth="1"/>
    <col min="5118" max="5120" width="0" style="328" hidden="1" customWidth="1"/>
    <col min="5121" max="5121" width="14.36328125" style="328" customWidth="1"/>
    <col min="5122" max="5122" width="26.453125" style="328" customWidth="1"/>
    <col min="5123" max="5123" width="20.6328125" style="328" customWidth="1"/>
    <col min="5124" max="5124" width="22.54296875" style="328" customWidth="1"/>
    <col min="5125" max="5125" width="10.36328125" style="328" customWidth="1"/>
    <col min="5126" max="5127" width="18.6328125" style="328" customWidth="1"/>
    <col min="5128" max="5371" width="9.08984375" style="328"/>
    <col min="5372" max="5372" width="6.08984375" style="328" customWidth="1"/>
    <col min="5373" max="5373" width="42.90625" style="328" customWidth="1"/>
    <col min="5374" max="5376" width="0" style="328" hidden="1" customWidth="1"/>
    <col min="5377" max="5377" width="14.36328125" style="328" customWidth="1"/>
    <col min="5378" max="5378" width="26.453125" style="328" customWidth="1"/>
    <col min="5379" max="5379" width="20.6328125" style="328" customWidth="1"/>
    <col min="5380" max="5380" width="22.54296875" style="328" customWidth="1"/>
    <col min="5381" max="5381" width="10.36328125" style="328" customWidth="1"/>
    <col min="5382" max="5383" width="18.6328125" style="328" customWidth="1"/>
    <col min="5384" max="5627" width="9.08984375" style="328"/>
    <col min="5628" max="5628" width="6.08984375" style="328" customWidth="1"/>
    <col min="5629" max="5629" width="42.90625" style="328" customWidth="1"/>
    <col min="5630" max="5632" width="0" style="328" hidden="1" customWidth="1"/>
    <col min="5633" max="5633" width="14.36328125" style="328" customWidth="1"/>
    <col min="5634" max="5634" width="26.453125" style="328" customWidth="1"/>
    <col min="5635" max="5635" width="20.6328125" style="328" customWidth="1"/>
    <col min="5636" max="5636" width="22.54296875" style="328" customWidth="1"/>
    <col min="5637" max="5637" width="10.36328125" style="328" customWidth="1"/>
    <col min="5638" max="5639" width="18.6328125" style="328" customWidth="1"/>
    <col min="5640" max="5883" width="9.08984375" style="328"/>
    <col min="5884" max="5884" width="6.08984375" style="328" customWidth="1"/>
    <col min="5885" max="5885" width="42.90625" style="328" customWidth="1"/>
    <col min="5886" max="5888" width="0" style="328" hidden="1" customWidth="1"/>
    <col min="5889" max="5889" width="14.36328125" style="328" customWidth="1"/>
    <col min="5890" max="5890" width="26.453125" style="328" customWidth="1"/>
    <col min="5891" max="5891" width="20.6328125" style="328" customWidth="1"/>
    <col min="5892" max="5892" width="22.54296875" style="328" customWidth="1"/>
    <col min="5893" max="5893" width="10.36328125" style="328" customWidth="1"/>
    <col min="5894" max="5895" width="18.6328125" style="328" customWidth="1"/>
    <col min="5896" max="6139" width="9.08984375" style="328"/>
    <col min="6140" max="6140" width="6.08984375" style="328" customWidth="1"/>
    <col min="6141" max="6141" width="42.90625" style="328" customWidth="1"/>
    <col min="6142" max="6144" width="0" style="328" hidden="1" customWidth="1"/>
    <col min="6145" max="6145" width="14.36328125" style="328" customWidth="1"/>
    <col min="6146" max="6146" width="26.453125" style="328" customWidth="1"/>
    <col min="6147" max="6147" width="20.6328125" style="328" customWidth="1"/>
    <col min="6148" max="6148" width="22.54296875" style="328" customWidth="1"/>
    <col min="6149" max="6149" width="10.36328125" style="328" customWidth="1"/>
    <col min="6150" max="6151" width="18.6328125" style="328" customWidth="1"/>
    <col min="6152" max="6395" width="9.08984375" style="328"/>
    <col min="6396" max="6396" width="6.08984375" style="328" customWidth="1"/>
    <col min="6397" max="6397" width="42.90625" style="328" customWidth="1"/>
    <col min="6398" max="6400" width="0" style="328" hidden="1" customWidth="1"/>
    <col min="6401" max="6401" width="14.36328125" style="328" customWidth="1"/>
    <col min="6402" max="6402" width="26.453125" style="328" customWidth="1"/>
    <col min="6403" max="6403" width="20.6328125" style="328" customWidth="1"/>
    <col min="6404" max="6404" width="22.54296875" style="328" customWidth="1"/>
    <col min="6405" max="6405" width="10.36328125" style="328" customWidth="1"/>
    <col min="6406" max="6407" width="18.6328125" style="328" customWidth="1"/>
    <col min="6408" max="6651" width="9.08984375" style="328"/>
    <col min="6652" max="6652" width="6.08984375" style="328" customWidth="1"/>
    <col min="6653" max="6653" width="42.90625" style="328" customWidth="1"/>
    <col min="6654" max="6656" width="0" style="328" hidden="1" customWidth="1"/>
    <col min="6657" max="6657" width="14.36328125" style="328" customWidth="1"/>
    <col min="6658" max="6658" width="26.453125" style="328" customWidth="1"/>
    <col min="6659" max="6659" width="20.6328125" style="328" customWidth="1"/>
    <col min="6660" max="6660" width="22.54296875" style="328" customWidth="1"/>
    <col min="6661" max="6661" width="10.36328125" style="328" customWidth="1"/>
    <col min="6662" max="6663" width="18.6328125" style="328" customWidth="1"/>
    <col min="6664" max="6907" width="9.08984375" style="328"/>
    <col min="6908" max="6908" width="6.08984375" style="328" customWidth="1"/>
    <col min="6909" max="6909" width="42.90625" style="328" customWidth="1"/>
    <col min="6910" max="6912" width="0" style="328" hidden="1" customWidth="1"/>
    <col min="6913" max="6913" width="14.36328125" style="328" customWidth="1"/>
    <col min="6914" max="6914" width="26.453125" style="328" customWidth="1"/>
    <col min="6915" max="6915" width="20.6328125" style="328" customWidth="1"/>
    <col min="6916" max="6916" width="22.54296875" style="328" customWidth="1"/>
    <col min="6917" max="6917" width="10.36328125" style="328" customWidth="1"/>
    <col min="6918" max="6919" width="18.6328125" style="328" customWidth="1"/>
    <col min="6920" max="7163" width="9.08984375" style="328"/>
    <col min="7164" max="7164" width="6.08984375" style="328" customWidth="1"/>
    <col min="7165" max="7165" width="42.90625" style="328" customWidth="1"/>
    <col min="7166" max="7168" width="0" style="328" hidden="1" customWidth="1"/>
    <col min="7169" max="7169" width="14.36328125" style="328" customWidth="1"/>
    <col min="7170" max="7170" width="26.453125" style="328" customWidth="1"/>
    <col min="7171" max="7171" width="20.6328125" style="328" customWidth="1"/>
    <col min="7172" max="7172" width="22.54296875" style="328" customWidth="1"/>
    <col min="7173" max="7173" width="10.36328125" style="328" customWidth="1"/>
    <col min="7174" max="7175" width="18.6328125" style="328" customWidth="1"/>
    <col min="7176" max="7419" width="9.08984375" style="328"/>
    <col min="7420" max="7420" width="6.08984375" style="328" customWidth="1"/>
    <col min="7421" max="7421" width="42.90625" style="328" customWidth="1"/>
    <col min="7422" max="7424" width="0" style="328" hidden="1" customWidth="1"/>
    <col min="7425" max="7425" width="14.36328125" style="328" customWidth="1"/>
    <col min="7426" max="7426" width="26.453125" style="328" customWidth="1"/>
    <col min="7427" max="7427" width="20.6328125" style="328" customWidth="1"/>
    <col min="7428" max="7428" width="22.54296875" style="328" customWidth="1"/>
    <col min="7429" max="7429" width="10.36328125" style="328" customWidth="1"/>
    <col min="7430" max="7431" width="18.6328125" style="328" customWidth="1"/>
    <col min="7432" max="7675" width="9.08984375" style="328"/>
    <col min="7676" max="7676" width="6.08984375" style="328" customWidth="1"/>
    <col min="7677" max="7677" width="42.90625" style="328" customWidth="1"/>
    <col min="7678" max="7680" width="0" style="328" hidden="1" customWidth="1"/>
    <col min="7681" max="7681" width="14.36328125" style="328" customWidth="1"/>
    <col min="7682" max="7682" width="26.453125" style="328" customWidth="1"/>
    <col min="7683" max="7683" width="20.6328125" style="328" customWidth="1"/>
    <col min="7684" max="7684" width="22.54296875" style="328" customWidth="1"/>
    <col min="7685" max="7685" width="10.36328125" style="328" customWidth="1"/>
    <col min="7686" max="7687" width="18.6328125" style="328" customWidth="1"/>
    <col min="7688" max="7931" width="9.08984375" style="328"/>
    <col min="7932" max="7932" width="6.08984375" style="328" customWidth="1"/>
    <col min="7933" max="7933" width="42.90625" style="328" customWidth="1"/>
    <col min="7934" max="7936" width="0" style="328" hidden="1" customWidth="1"/>
    <col min="7937" max="7937" width="14.36328125" style="328" customWidth="1"/>
    <col min="7938" max="7938" width="26.453125" style="328" customWidth="1"/>
    <col min="7939" max="7939" width="20.6328125" style="328" customWidth="1"/>
    <col min="7940" max="7940" width="22.54296875" style="328" customWidth="1"/>
    <col min="7941" max="7941" width="10.36328125" style="328" customWidth="1"/>
    <col min="7942" max="7943" width="18.6328125" style="328" customWidth="1"/>
    <col min="7944" max="8187" width="9.08984375" style="328"/>
    <col min="8188" max="8188" width="6.08984375" style="328" customWidth="1"/>
    <col min="8189" max="8189" width="42.90625" style="328" customWidth="1"/>
    <col min="8190" max="8192" width="0" style="328" hidden="1" customWidth="1"/>
    <col min="8193" max="8193" width="14.36328125" style="328" customWidth="1"/>
    <col min="8194" max="8194" width="26.453125" style="328" customWidth="1"/>
    <col min="8195" max="8195" width="20.6328125" style="328" customWidth="1"/>
    <col min="8196" max="8196" width="22.54296875" style="328" customWidth="1"/>
    <col min="8197" max="8197" width="10.36328125" style="328" customWidth="1"/>
    <col min="8198" max="8199" width="18.6328125" style="328" customWidth="1"/>
    <col min="8200" max="8443" width="9.08984375" style="328"/>
    <col min="8444" max="8444" width="6.08984375" style="328" customWidth="1"/>
    <col min="8445" max="8445" width="42.90625" style="328" customWidth="1"/>
    <col min="8446" max="8448" width="0" style="328" hidden="1" customWidth="1"/>
    <col min="8449" max="8449" width="14.36328125" style="328" customWidth="1"/>
    <col min="8450" max="8450" width="26.453125" style="328" customWidth="1"/>
    <col min="8451" max="8451" width="20.6328125" style="328" customWidth="1"/>
    <col min="8452" max="8452" width="22.54296875" style="328" customWidth="1"/>
    <col min="8453" max="8453" width="10.36328125" style="328" customWidth="1"/>
    <col min="8454" max="8455" width="18.6328125" style="328" customWidth="1"/>
    <col min="8456" max="8699" width="9.08984375" style="328"/>
    <col min="8700" max="8700" width="6.08984375" style="328" customWidth="1"/>
    <col min="8701" max="8701" width="42.90625" style="328" customWidth="1"/>
    <col min="8702" max="8704" width="0" style="328" hidden="1" customWidth="1"/>
    <col min="8705" max="8705" width="14.36328125" style="328" customWidth="1"/>
    <col min="8706" max="8706" width="26.453125" style="328" customWidth="1"/>
    <col min="8707" max="8707" width="20.6328125" style="328" customWidth="1"/>
    <col min="8708" max="8708" width="22.54296875" style="328" customWidth="1"/>
    <col min="8709" max="8709" width="10.36328125" style="328" customWidth="1"/>
    <col min="8710" max="8711" width="18.6328125" style="328" customWidth="1"/>
    <col min="8712" max="8955" width="9.08984375" style="328"/>
    <col min="8956" max="8956" width="6.08984375" style="328" customWidth="1"/>
    <col min="8957" max="8957" width="42.90625" style="328" customWidth="1"/>
    <col min="8958" max="8960" width="0" style="328" hidden="1" customWidth="1"/>
    <col min="8961" max="8961" width="14.36328125" style="328" customWidth="1"/>
    <col min="8962" max="8962" width="26.453125" style="328" customWidth="1"/>
    <col min="8963" max="8963" width="20.6328125" style="328" customWidth="1"/>
    <col min="8964" max="8964" width="22.54296875" style="328" customWidth="1"/>
    <col min="8965" max="8965" width="10.36328125" style="328" customWidth="1"/>
    <col min="8966" max="8967" width="18.6328125" style="328" customWidth="1"/>
    <col min="8968" max="9211" width="9.08984375" style="328"/>
    <col min="9212" max="9212" width="6.08984375" style="328" customWidth="1"/>
    <col min="9213" max="9213" width="42.90625" style="328" customWidth="1"/>
    <col min="9214" max="9216" width="0" style="328" hidden="1" customWidth="1"/>
    <col min="9217" max="9217" width="14.36328125" style="328" customWidth="1"/>
    <col min="9218" max="9218" width="26.453125" style="328" customWidth="1"/>
    <col min="9219" max="9219" width="20.6328125" style="328" customWidth="1"/>
    <col min="9220" max="9220" width="22.54296875" style="328" customWidth="1"/>
    <col min="9221" max="9221" width="10.36328125" style="328" customWidth="1"/>
    <col min="9222" max="9223" width="18.6328125" style="328" customWidth="1"/>
    <col min="9224" max="9467" width="9.08984375" style="328"/>
    <col min="9468" max="9468" width="6.08984375" style="328" customWidth="1"/>
    <col min="9469" max="9469" width="42.90625" style="328" customWidth="1"/>
    <col min="9470" max="9472" width="0" style="328" hidden="1" customWidth="1"/>
    <col min="9473" max="9473" width="14.36328125" style="328" customWidth="1"/>
    <col min="9474" max="9474" width="26.453125" style="328" customWidth="1"/>
    <col min="9475" max="9475" width="20.6328125" style="328" customWidth="1"/>
    <col min="9476" max="9476" width="22.54296875" style="328" customWidth="1"/>
    <col min="9477" max="9477" width="10.36328125" style="328" customWidth="1"/>
    <col min="9478" max="9479" width="18.6328125" style="328" customWidth="1"/>
    <col min="9480" max="9723" width="9.08984375" style="328"/>
    <col min="9724" max="9724" width="6.08984375" style="328" customWidth="1"/>
    <col min="9725" max="9725" width="42.90625" style="328" customWidth="1"/>
    <col min="9726" max="9728" width="0" style="328" hidden="1" customWidth="1"/>
    <col min="9729" max="9729" width="14.36328125" style="328" customWidth="1"/>
    <col min="9730" max="9730" width="26.453125" style="328" customWidth="1"/>
    <col min="9731" max="9731" width="20.6328125" style="328" customWidth="1"/>
    <col min="9732" max="9732" width="22.54296875" style="328" customWidth="1"/>
    <col min="9733" max="9733" width="10.36328125" style="328" customWidth="1"/>
    <col min="9734" max="9735" width="18.6328125" style="328" customWidth="1"/>
    <col min="9736" max="9979" width="9.08984375" style="328"/>
    <col min="9980" max="9980" width="6.08984375" style="328" customWidth="1"/>
    <col min="9981" max="9981" width="42.90625" style="328" customWidth="1"/>
    <col min="9982" max="9984" width="0" style="328" hidden="1" customWidth="1"/>
    <col min="9985" max="9985" width="14.36328125" style="328" customWidth="1"/>
    <col min="9986" max="9986" width="26.453125" style="328" customWidth="1"/>
    <col min="9987" max="9987" width="20.6328125" style="328" customWidth="1"/>
    <col min="9988" max="9988" width="22.54296875" style="328" customWidth="1"/>
    <col min="9989" max="9989" width="10.36328125" style="328" customWidth="1"/>
    <col min="9990" max="9991" width="18.6328125" style="328" customWidth="1"/>
    <col min="9992" max="10235" width="9.08984375" style="328"/>
    <col min="10236" max="10236" width="6.08984375" style="328" customWidth="1"/>
    <col min="10237" max="10237" width="42.90625" style="328" customWidth="1"/>
    <col min="10238" max="10240" width="0" style="328" hidden="1" customWidth="1"/>
    <col min="10241" max="10241" width="14.36328125" style="328" customWidth="1"/>
    <col min="10242" max="10242" width="26.453125" style="328" customWidth="1"/>
    <col min="10243" max="10243" width="20.6328125" style="328" customWidth="1"/>
    <col min="10244" max="10244" width="22.54296875" style="328" customWidth="1"/>
    <col min="10245" max="10245" width="10.36328125" style="328" customWidth="1"/>
    <col min="10246" max="10247" width="18.6328125" style="328" customWidth="1"/>
    <col min="10248" max="10491" width="9.08984375" style="328"/>
    <col min="10492" max="10492" width="6.08984375" style="328" customWidth="1"/>
    <col min="10493" max="10493" width="42.90625" style="328" customWidth="1"/>
    <col min="10494" max="10496" width="0" style="328" hidden="1" customWidth="1"/>
    <col min="10497" max="10497" width="14.36328125" style="328" customWidth="1"/>
    <col min="10498" max="10498" width="26.453125" style="328" customWidth="1"/>
    <col min="10499" max="10499" width="20.6328125" style="328" customWidth="1"/>
    <col min="10500" max="10500" width="22.54296875" style="328" customWidth="1"/>
    <col min="10501" max="10501" width="10.36328125" style="328" customWidth="1"/>
    <col min="10502" max="10503" width="18.6328125" style="328" customWidth="1"/>
    <col min="10504" max="10747" width="9.08984375" style="328"/>
    <col min="10748" max="10748" width="6.08984375" style="328" customWidth="1"/>
    <col min="10749" max="10749" width="42.90625" style="328" customWidth="1"/>
    <col min="10750" max="10752" width="0" style="328" hidden="1" customWidth="1"/>
    <col min="10753" max="10753" width="14.36328125" style="328" customWidth="1"/>
    <col min="10754" max="10754" width="26.453125" style="328" customWidth="1"/>
    <col min="10755" max="10755" width="20.6328125" style="328" customWidth="1"/>
    <col min="10756" max="10756" width="22.54296875" style="328" customWidth="1"/>
    <col min="10757" max="10757" width="10.36328125" style="328" customWidth="1"/>
    <col min="10758" max="10759" width="18.6328125" style="328" customWidth="1"/>
    <col min="10760" max="11003" width="9.08984375" style="328"/>
    <col min="11004" max="11004" width="6.08984375" style="328" customWidth="1"/>
    <col min="11005" max="11005" width="42.90625" style="328" customWidth="1"/>
    <col min="11006" max="11008" width="0" style="328" hidden="1" customWidth="1"/>
    <col min="11009" max="11009" width="14.36328125" style="328" customWidth="1"/>
    <col min="11010" max="11010" width="26.453125" style="328" customWidth="1"/>
    <col min="11011" max="11011" width="20.6328125" style="328" customWidth="1"/>
    <col min="11012" max="11012" width="22.54296875" style="328" customWidth="1"/>
    <col min="11013" max="11013" width="10.36328125" style="328" customWidth="1"/>
    <col min="11014" max="11015" width="18.6328125" style="328" customWidth="1"/>
    <col min="11016" max="11259" width="9.08984375" style="328"/>
    <col min="11260" max="11260" width="6.08984375" style="328" customWidth="1"/>
    <col min="11261" max="11261" width="42.90625" style="328" customWidth="1"/>
    <col min="11262" max="11264" width="0" style="328" hidden="1" customWidth="1"/>
    <col min="11265" max="11265" width="14.36328125" style="328" customWidth="1"/>
    <col min="11266" max="11266" width="26.453125" style="328" customWidth="1"/>
    <col min="11267" max="11267" width="20.6328125" style="328" customWidth="1"/>
    <col min="11268" max="11268" width="22.54296875" style="328" customWidth="1"/>
    <col min="11269" max="11269" width="10.36328125" style="328" customWidth="1"/>
    <col min="11270" max="11271" width="18.6328125" style="328" customWidth="1"/>
    <col min="11272" max="11515" width="9.08984375" style="328"/>
    <col min="11516" max="11516" width="6.08984375" style="328" customWidth="1"/>
    <col min="11517" max="11517" width="42.90625" style="328" customWidth="1"/>
    <col min="11518" max="11520" width="0" style="328" hidden="1" customWidth="1"/>
    <col min="11521" max="11521" width="14.36328125" style="328" customWidth="1"/>
    <col min="11522" max="11522" width="26.453125" style="328" customWidth="1"/>
    <col min="11523" max="11523" width="20.6328125" style="328" customWidth="1"/>
    <col min="11524" max="11524" width="22.54296875" style="328" customWidth="1"/>
    <col min="11525" max="11525" width="10.36328125" style="328" customWidth="1"/>
    <col min="11526" max="11527" width="18.6328125" style="328" customWidth="1"/>
    <col min="11528" max="11771" width="9.08984375" style="328"/>
    <col min="11772" max="11772" width="6.08984375" style="328" customWidth="1"/>
    <col min="11773" max="11773" width="42.90625" style="328" customWidth="1"/>
    <col min="11774" max="11776" width="0" style="328" hidden="1" customWidth="1"/>
    <col min="11777" max="11777" width="14.36328125" style="328" customWidth="1"/>
    <col min="11778" max="11778" width="26.453125" style="328" customWidth="1"/>
    <col min="11779" max="11779" width="20.6328125" style="328" customWidth="1"/>
    <col min="11780" max="11780" width="22.54296875" style="328" customWidth="1"/>
    <col min="11781" max="11781" width="10.36328125" style="328" customWidth="1"/>
    <col min="11782" max="11783" width="18.6328125" style="328" customWidth="1"/>
    <col min="11784" max="12027" width="9.08984375" style="328"/>
    <col min="12028" max="12028" width="6.08984375" style="328" customWidth="1"/>
    <col min="12029" max="12029" width="42.90625" style="328" customWidth="1"/>
    <col min="12030" max="12032" width="0" style="328" hidden="1" customWidth="1"/>
    <col min="12033" max="12033" width="14.36328125" style="328" customWidth="1"/>
    <col min="12034" max="12034" width="26.453125" style="328" customWidth="1"/>
    <col min="12035" max="12035" width="20.6328125" style="328" customWidth="1"/>
    <col min="12036" max="12036" width="22.54296875" style="328" customWidth="1"/>
    <col min="12037" max="12037" width="10.36328125" style="328" customWidth="1"/>
    <col min="12038" max="12039" width="18.6328125" style="328" customWidth="1"/>
    <col min="12040" max="12283" width="9.08984375" style="328"/>
    <col min="12284" max="12284" width="6.08984375" style="328" customWidth="1"/>
    <col min="12285" max="12285" width="42.90625" style="328" customWidth="1"/>
    <col min="12286" max="12288" width="0" style="328" hidden="1" customWidth="1"/>
    <col min="12289" max="12289" width="14.36328125" style="328" customWidth="1"/>
    <col min="12290" max="12290" width="26.453125" style="328" customWidth="1"/>
    <col min="12291" max="12291" width="20.6328125" style="328" customWidth="1"/>
    <col min="12292" max="12292" width="22.54296875" style="328" customWidth="1"/>
    <col min="12293" max="12293" width="10.36328125" style="328" customWidth="1"/>
    <col min="12294" max="12295" width="18.6328125" style="328" customWidth="1"/>
    <col min="12296" max="12539" width="9.08984375" style="328"/>
    <col min="12540" max="12540" width="6.08984375" style="328" customWidth="1"/>
    <col min="12541" max="12541" width="42.90625" style="328" customWidth="1"/>
    <col min="12542" max="12544" width="0" style="328" hidden="1" customWidth="1"/>
    <col min="12545" max="12545" width="14.36328125" style="328" customWidth="1"/>
    <col min="12546" max="12546" width="26.453125" style="328" customWidth="1"/>
    <col min="12547" max="12547" width="20.6328125" style="328" customWidth="1"/>
    <col min="12548" max="12548" width="22.54296875" style="328" customWidth="1"/>
    <col min="12549" max="12549" width="10.36328125" style="328" customWidth="1"/>
    <col min="12550" max="12551" width="18.6328125" style="328" customWidth="1"/>
    <col min="12552" max="12795" width="9.08984375" style="328"/>
    <col min="12796" max="12796" width="6.08984375" style="328" customWidth="1"/>
    <col min="12797" max="12797" width="42.90625" style="328" customWidth="1"/>
    <col min="12798" max="12800" width="0" style="328" hidden="1" customWidth="1"/>
    <col min="12801" max="12801" width="14.36328125" style="328" customWidth="1"/>
    <col min="12802" max="12802" width="26.453125" style="328" customWidth="1"/>
    <col min="12803" max="12803" width="20.6328125" style="328" customWidth="1"/>
    <col min="12804" max="12804" width="22.54296875" style="328" customWidth="1"/>
    <col min="12805" max="12805" width="10.36328125" style="328" customWidth="1"/>
    <col min="12806" max="12807" width="18.6328125" style="328" customWidth="1"/>
    <col min="12808" max="13051" width="9.08984375" style="328"/>
    <col min="13052" max="13052" width="6.08984375" style="328" customWidth="1"/>
    <col min="13053" max="13053" width="42.90625" style="328" customWidth="1"/>
    <col min="13054" max="13056" width="0" style="328" hidden="1" customWidth="1"/>
    <col min="13057" max="13057" width="14.36328125" style="328" customWidth="1"/>
    <col min="13058" max="13058" width="26.453125" style="328" customWidth="1"/>
    <col min="13059" max="13059" width="20.6328125" style="328" customWidth="1"/>
    <col min="13060" max="13060" width="22.54296875" style="328" customWidth="1"/>
    <col min="13061" max="13061" width="10.36328125" style="328" customWidth="1"/>
    <col min="13062" max="13063" width="18.6328125" style="328" customWidth="1"/>
    <col min="13064" max="13307" width="9.08984375" style="328"/>
    <col min="13308" max="13308" width="6.08984375" style="328" customWidth="1"/>
    <col min="13309" max="13309" width="42.90625" style="328" customWidth="1"/>
    <col min="13310" max="13312" width="0" style="328" hidden="1" customWidth="1"/>
    <col min="13313" max="13313" width="14.36328125" style="328" customWidth="1"/>
    <col min="13314" max="13314" width="26.453125" style="328" customWidth="1"/>
    <col min="13315" max="13315" width="20.6328125" style="328" customWidth="1"/>
    <col min="13316" max="13316" width="22.54296875" style="328" customWidth="1"/>
    <col min="13317" max="13317" width="10.36328125" style="328" customWidth="1"/>
    <col min="13318" max="13319" width="18.6328125" style="328" customWidth="1"/>
    <col min="13320" max="13563" width="9.08984375" style="328"/>
    <col min="13564" max="13564" width="6.08984375" style="328" customWidth="1"/>
    <col min="13565" max="13565" width="42.90625" style="328" customWidth="1"/>
    <col min="13566" max="13568" width="0" style="328" hidden="1" customWidth="1"/>
    <col min="13569" max="13569" width="14.36328125" style="328" customWidth="1"/>
    <col min="13570" max="13570" width="26.453125" style="328" customWidth="1"/>
    <col min="13571" max="13571" width="20.6328125" style="328" customWidth="1"/>
    <col min="13572" max="13572" width="22.54296875" style="328" customWidth="1"/>
    <col min="13573" max="13573" width="10.36328125" style="328" customWidth="1"/>
    <col min="13574" max="13575" width="18.6328125" style="328" customWidth="1"/>
    <col min="13576" max="13819" width="9.08984375" style="328"/>
    <col min="13820" max="13820" width="6.08984375" style="328" customWidth="1"/>
    <col min="13821" max="13821" width="42.90625" style="328" customWidth="1"/>
    <col min="13822" max="13824" width="0" style="328" hidden="1" customWidth="1"/>
    <col min="13825" max="13825" width="14.36328125" style="328" customWidth="1"/>
    <col min="13826" max="13826" width="26.453125" style="328" customWidth="1"/>
    <col min="13827" max="13827" width="20.6328125" style="328" customWidth="1"/>
    <col min="13828" max="13828" width="22.54296875" style="328" customWidth="1"/>
    <col min="13829" max="13829" width="10.36328125" style="328" customWidth="1"/>
    <col min="13830" max="13831" width="18.6328125" style="328" customWidth="1"/>
    <col min="13832" max="14075" width="9.08984375" style="328"/>
    <col min="14076" max="14076" width="6.08984375" style="328" customWidth="1"/>
    <col min="14077" max="14077" width="42.90625" style="328" customWidth="1"/>
    <col min="14078" max="14080" width="0" style="328" hidden="1" customWidth="1"/>
    <col min="14081" max="14081" width="14.36328125" style="328" customWidth="1"/>
    <col min="14082" max="14082" width="26.453125" style="328" customWidth="1"/>
    <col min="14083" max="14083" width="20.6328125" style="328" customWidth="1"/>
    <col min="14084" max="14084" width="22.54296875" style="328" customWidth="1"/>
    <col min="14085" max="14085" width="10.36328125" style="328" customWidth="1"/>
    <col min="14086" max="14087" width="18.6328125" style="328" customWidth="1"/>
    <col min="14088" max="14331" width="9.08984375" style="328"/>
    <col min="14332" max="14332" width="6.08984375" style="328" customWidth="1"/>
    <col min="14333" max="14333" width="42.90625" style="328" customWidth="1"/>
    <col min="14334" max="14336" width="0" style="328" hidden="1" customWidth="1"/>
    <col min="14337" max="14337" width="14.36328125" style="328" customWidth="1"/>
    <col min="14338" max="14338" width="26.453125" style="328" customWidth="1"/>
    <col min="14339" max="14339" width="20.6328125" style="328" customWidth="1"/>
    <col min="14340" max="14340" width="22.54296875" style="328" customWidth="1"/>
    <col min="14341" max="14341" width="10.36328125" style="328" customWidth="1"/>
    <col min="14342" max="14343" width="18.6328125" style="328" customWidth="1"/>
    <col min="14344" max="14587" width="9.08984375" style="328"/>
    <col min="14588" max="14588" width="6.08984375" style="328" customWidth="1"/>
    <col min="14589" max="14589" width="42.90625" style="328" customWidth="1"/>
    <col min="14590" max="14592" width="0" style="328" hidden="1" customWidth="1"/>
    <col min="14593" max="14593" width="14.36328125" style="328" customWidth="1"/>
    <col min="14594" max="14594" width="26.453125" style="328" customWidth="1"/>
    <col min="14595" max="14595" width="20.6328125" style="328" customWidth="1"/>
    <col min="14596" max="14596" width="22.54296875" style="328" customWidth="1"/>
    <col min="14597" max="14597" width="10.36328125" style="328" customWidth="1"/>
    <col min="14598" max="14599" width="18.6328125" style="328" customWidth="1"/>
    <col min="14600" max="14843" width="9.08984375" style="328"/>
    <col min="14844" max="14844" width="6.08984375" style="328" customWidth="1"/>
    <col min="14845" max="14845" width="42.90625" style="328" customWidth="1"/>
    <col min="14846" max="14848" width="0" style="328" hidden="1" customWidth="1"/>
    <col min="14849" max="14849" width="14.36328125" style="328" customWidth="1"/>
    <col min="14850" max="14850" width="26.453125" style="328" customWidth="1"/>
    <col min="14851" max="14851" width="20.6328125" style="328" customWidth="1"/>
    <col min="14852" max="14852" width="22.54296875" style="328" customWidth="1"/>
    <col min="14853" max="14853" width="10.36328125" style="328" customWidth="1"/>
    <col min="14854" max="14855" width="18.6328125" style="328" customWidth="1"/>
    <col min="14856" max="15099" width="9.08984375" style="328"/>
    <col min="15100" max="15100" width="6.08984375" style="328" customWidth="1"/>
    <col min="15101" max="15101" width="42.90625" style="328" customWidth="1"/>
    <col min="15102" max="15104" width="0" style="328" hidden="1" customWidth="1"/>
    <col min="15105" max="15105" width="14.36328125" style="328" customWidth="1"/>
    <col min="15106" max="15106" width="26.453125" style="328" customWidth="1"/>
    <col min="15107" max="15107" width="20.6328125" style="328" customWidth="1"/>
    <col min="15108" max="15108" width="22.54296875" style="328" customWidth="1"/>
    <col min="15109" max="15109" width="10.36328125" style="328" customWidth="1"/>
    <col min="15110" max="15111" width="18.6328125" style="328" customWidth="1"/>
    <col min="15112" max="15355" width="9.08984375" style="328"/>
    <col min="15356" max="15356" width="6.08984375" style="328" customWidth="1"/>
    <col min="15357" max="15357" width="42.90625" style="328" customWidth="1"/>
    <col min="15358" max="15360" width="0" style="328" hidden="1" customWidth="1"/>
    <col min="15361" max="15361" width="14.36328125" style="328" customWidth="1"/>
    <col min="15362" max="15362" width="26.453125" style="328" customWidth="1"/>
    <col min="15363" max="15363" width="20.6328125" style="328" customWidth="1"/>
    <col min="15364" max="15364" width="22.54296875" style="328" customWidth="1"/>
    <col min="15365" max="15365" width="10.36328125" style="328" customWidth="1"/>
    <col min="15366" max="15367" width="18.6328125" style="328" customWidth="1"/>
    <col min="15368" max="15611" width="9.08984375" style="328"/>
    <col min="15612" max="15612" width="6.08984375" style="328" customWidth="1"/>
    <col min="15613" max="15613" width="42.90625" style="328" customWidth="1"/>
    <col min="15614" max="15616" width="0" style="328" hidden="1" customWidth="1"/>
    <col min="15617" max="15617" width="14.36328125" style="328" customWidth="1"/>
    <col min="15618" max="15618" width="26.453125" style="328" customWidth="1"/>
    <col min="15619" max="15619" width="20.6328125" style="328" customWidth="1"/>
    <col min="15620" max="15620" width="22.54296875" style="328" customWidth="1"/>
    <col min="15621" max="15621" width="10.36328125" style="328" customWidth="1"/>
    <col min="15622" max="15623" width="18.6328125" style="328" customWidth="1"/>
    <col min="15624" max="15867" width="9.08984375" style="328"/>
    <col min="15868" max="15868" width="6.08984375" style="328" customWidth="1"/>
    <col min="15869" max="15869" width="42.90625" style="328" customWidth="1"/>
    <col min="15870" max="15872" width="0" style="328" hidden="1" customWidth="1"/>
    <col min="15873" max="15873" width="14.36328125" style="328" customWidth="1"/>
    <col min="15874" max="15874" width="26.453125" style="328" customWidth="1"/>
    <col min="15875" max="15875" width="20.6328125" style="328" customWidth="1"/>
    <col min="15876" max="15876" width="22.54296875" style="328" customWidth="1"/>
    <col min="15877" max="15877" width="10.36328125" style="328" customWidth="1"/>
    <col min="15878" max="15879" width="18.6328125" style="328" customWidth="1"/>
    <col min="15880" max="16123" width="9.08984375" style="328"/>
    <col min="16124" max="16124" width="6.08984375" style="328" customWidth="1"/>
    <col min="16125" max="16125" width="42.90625" style="328" customWidth="1"/>
    <col min="16126" max="16128" width="0" style="328" hidden="1" customWidth="1"/>
    <col min="16129" max="16129" width="14.36328125" style="328" customWidth="1"/>
    <col min="16130" max="16130" width="26.453125" style="328" customWidth="1"/>
    <col min="16131" max="16131" width="20.6328125" style="328" customWidth="1"/>
    <col min="16132" max="16132" width="22.54296875" style="328" customWidth="1"/>
    <col min="16133" max="16133" width="10.36328125" style="328" customWidth="1"/>
    <col min="16134" max="16135" width="18.6328125" style="328" customWidth="1"/>
    <col min="16136" max="16380" width="9.08984375" style="328"/>
    <col min="16381" max="16384" width="9.08984375" style="328" customWidth="1"/>
  </cols>
  <sheetData>
    <row r="1" spans="1:6" ht="16.5" x14ac:dyDescent="0.35">
      <c r="A1" s="678" t="s">
        <v>69</v>
      </c>
      <c r="B1" s="678"/>
    </row>
    <row r="2" spans="1:6" ht="16.5" x14ac:dyDescent="0.35">
      <c r="A2" s="684" t="s">
        <v>313</v>
      </c>
      <c r="B2" s="684"/>
    </row>
    <row r="3" spans="1:6" ht="15" customHeight="1" x14ac:dyDescent="0.35">
      <c r="A3" s="268"/>
      <c r="B3" s="268"/>
    </row>
    <row r="4" spans="1:6" ht="16.5" x14ac:dyDescent="0.35">
      <c r="A4" s="705" t="s">
        <v>452</v>
      </c>
      <c r="B4" s="705"/>
      <c r="C4" s="705"/>
      <c r="D4" s="705"/>
      <c r="E4" s="705"/>
    </row>
    <row r="5" spans="1:6" ht="16.5" x14ac:dyDescent="0.35">
      <c r="A5" s="522"/>
      <c r="B5" s="508"/>
      <c r="C5" s="706" t="s">
        <v>314</v>
      </c>
      <c r="D5" s="706"/>
      <c r="E5" s="706"/>
    </row>
    <row r="6" spans="1:6" ht="30" customHeight="1" x14ac:dyDescent="0.35">
      <c r="A6" s="509" t="s">
        <v>16</v>
      </c>
      <c r="B6" s="509" t="s">
        <v>315</v>
      </c>
      <c r="C6" s="509" t="s">
        <v>469</v>
      </c>
      <c r="D6" s="510" t="s">
        <v>316</v>
      </c>
      <c r="E6" s="509" t="s">
        <v>22</v>
      </c>
    </row>
    <row r="7" spans="1:6" s="377" customFormat="1" ht="16.5" x14ac:dyDescent="0.35">
      <c r="A7" s="509" t="s">
        <v>8</v>
      </c>
      <c r="B7" s="511" t="s">
        <v>317</v>
      </c>
      <c r="C7" s="523">
        <f>C8+C15+C20+C23+C30+C31+C32</f>
        <v>329366.8</v>
      </c>
      <c r="D7" s="524">
        <f>D8+D15+D20+D23+D30+D31+D32</f>
        <v>339898.43804000004</v>
      </c>
      <c r="E7" s="511"/>
      <c r="F7" s="481"/>
    </row>
    <row r="8" spans="1:6" ht="16.5" x14ac:dyDescent="0.35">
      <c r="A8" s="525">
        <v>1</v>
      </c>
      <c r="B8" s="512" t="s">
        <v>318</v>
      </c>
      <c r="C8" s="526">
        <f>SUM(C9:C14)</f>
        <v>270607</v>
      </c>
      <c r="D8" s="527">
        <f>SUM(D9:D14)</f>
        <v>264111.93804000004</v>
      </c>
      <c r="E8" s="517"/>
      <c r="F8" s="350"/>
    </row>
    <row r="9" spans="1:6" ht="16.5" x14ac:dyDescent="0.35">
      <c r="A9" s="521" t="s">
        <v>319</v>
      </c>
      <c r="B9" s="513" t="s">
        <v>320</v>
      </c>
      <c r="C9" s="528">
        <v>2900</v>
      </c>
      <c r="D9" s="529">
        <v>3066</v>
      </c>
      <c r="E9" s="513"/>
      <c r="F9" s="350"/>
    </row>
    <row r="10" spans="1:6" ht="16.5" x14ac:dyDescent="0.35">
      <c r="A10" s="521" t="s">
        <v>321</v>
      </c>
      <c r="B10" s="513" t="s">
        <v>322</v>
      </c>
      <c r="C10" s="528">
        <v>256951</v>
      </c>
      <c r="D10" s="529">
        <v>256950.69003999999</v>
      </c>
      <c r="E10" s="513"/>
    </row>
    <row r="11" spans="1:6" ht="16.5" x14ac:dyDescent="0.35">
      <c r="A11" s="521" t="s">
        <v>323</v>
      </c>
      <c r="B11" s="513" t="s">
        <v>324</v>
      </c>
      <c r="C11" s="528">
        <v>11805</v>
      </c>
      <c r="D11" s="529">
        <v>8577.06</v>
      </c>
      <c r="E11" s="513"/>
      <c r="F11" s="350"/>
    </row>
    <row r="12" spans="1:6" ht="16.5" x14ac:dyDescent="0.35">
      <c r="A12" s="521" t="s">
        <v>325</v>
      </c>
      <c r="B12" s="513" t="s">
        <v>326</v>
      </c>
      <c r="C12" s="528"/>
      <c r="D12" s="529">
        <v>-13081.812</v>
      </c>
      <c r="E12" s="513"/>
      <c r="F12" s="350"/>
    </row>
    <row r="13" spans="1:6" ht="16.5" x14ac:dyDescent="0.35">
      <c r="A13" s="521" t="s">
        <v>327</v>
      </c>
      <c r="B13" s="514" t="s">
        <v>328</v>
      </c>
      <c r="C13" s="530">
        <v>-1049</v>
      </c>
      <c r="D13" s="531">
        <v>-1400</v>
      </c>
      <c r="E13" s="513"/>
      <c r="F13" s="350"/>
    </row>
    <row r="14" spans="1:6" ht="16.5" x14ac:dyDescent="0.35">
      <c r="A14" s="521" t="s">
        <v>329</v>
      </c>
      <c r="B14" s="277" t="s">
        <v>330</v>
      </c>
      <c r="C14" s="530"/>
      <c r="D14" s="531">
        <v>10000</v>
      </c>
      <c r="E14" s="513"/>
      <c r="F14" s="350"/>
    </row>
    <row r="15" spans="1:6" s="377" customFormat="1" ht="16.5" x14ac:dyDescent="0.35">
      <c r="A15" s="525">
        <v>2</v>
      </c>
      <c r="B15" s="515" t="s">
        <v>331</v>
      </c>
      <c r="C15" s="532">
        <f>SUM(C16:C19)</f>
        <v>3394</v>
      </c>
      <c r="D15" s="533">
        <f>SUM(D16:D19)</f>
        <v>3180</v>
      </c>
      <c r="E15" s="512"/>
    </row>
    <row r="16" spans="1:6" ht="33" x14ac:dyDescent="0.35">
      <c r="A16" s="521" t="s">
        <v>332</v>
      </c>
      <c r="B16" s="534" t="s">
        <v>333</v>
      </c>
      <c r="C16" s="528">
        <v>1064</v>
      </c>
      <c r="D16" s="535">
        <v>1000</v>
      </c>
      <c r="E16" s="513"/>
    </row>
    <row r="17" spans="1:9" ht="16.5" x14ac:dyDescent="0.35">
      <c r="A17" s="521" t="s">
        <v>334</v>
      </c>
      <c r="B17" s="534" t="s">
        <v>335</v>
      </c>
      <c r="C17" s="528">
        <v>1360</v>
      </c>
      <c r="D17" s="535">
        <v>1300</v>
      </c>
      <c r="E17" s="513"/>
    </row>
    <row r="18" spans="1:9" ht="16.5" x14ac:dyDescent="0.35">
      <c r="A18" s="521" t="s">
        <v>336</v>
      </c>
      <c r="B18" s="534" t="s">
        <v>337</v>
      </c>
      <c r="C18" s="528">
        <v>135</v>
      </c>
      <c r="D18" s="529">
        <v>80</v>
      </c>
      <c r="E18" s="513"/>
    </row>
    <row r="19" spans="1:9" ht="16.5" x14ac:dyDescent="0.35">
      <c r="A19" s="521" t="s">
        <v>338</v>
      </c>
      <c r="B19" s="534" t="s">
        <v>461</v>
      </c>
      <c r="C19" s="528">
        <v>835</v>
      </c>
      <c r="D19" s="529">
        <v>800</v>
      </c>
      <c r="E19" s="513"/>
    </row>
    <row r="20" spans="1:9" s="377" customFormat="1" ht="16.5" x14ac:dyDescent="0.35">
      <c r="A20" s="525">
        <v>3</v>
      </c>
      <c r="B20" s="512" t="s">
        <v>339</v>
      </c>
      <c r="C20" s="536">
        <f>SUM(C21:C22)</f>
        <v>110</v>
      </c>
      <c r="D20" s="537">
        <f>SUM(D21:D22)</f>
        <v>16886</v>
      </c>
      <c r="E20" s="512"/>
      <c r="I20" s="357"/>
    </row>
    <row r="21" spans="1:9" ht="16.5" x14ac:dyDescent="0.35">
      <c r="A21" s="521" t="s">
        <v>340</v>
      </c>
      <c r="B21" s="513" t="s">
        <v>341</v>
      </c>
      <c r="C21" s="528"/>
      <c r="D21" s="529">
        <v>16786</v>
      </c>
      <c r="E21" s="513"/>
    </row>
    <row r="22" spans="1:9" ht="16.5" x14ac:dyDescent="0.35">
      <c r="A22" s="521">
        <v>3.2</v>
      </c>
      <c r="B22" s="513" t="s">
        <v>342</v>
      </c>
      <c r="C22" s="528">
        <v>110</v>
      </c>
      <c r="D22" s="529">
        <v>100</v>
      </c>
      <c r="E22" s="513"/>
    </row>
    <row r="23" spans="1:9" s="364" customFormat="1" ht="16.5" x14ac:dyDescent="0.35">
      <c r="A23" s="525">
        <v>4</v>
      </c>
      <c r="B23" s="512" t="s">
        <v>343</v>
      </c>
      <c r="C23" s="536">
        <f>SUM(C24:C29)</f>
        <v>51748.800000000003</v>
      </c>
      <c r="D23" s="537">
        <f>SUM(D24:D29)</f>
        <v>47700.5</v>
      </c>
      <c r="E23" s="512"/>
    </row>
    <row r="24" spans="1:9" ht="16.5" x14ac:dyDescent="0.35">
      <c r="A24" s="521" t="s">
        <v>344</v>
      </c>
      <c r="B24" s="277" t="s">
        <v>345</v>
      </c>
      <c r="C24" s="528">
        <v>4367</v>
      </c>
      <c r="D24" s="529">
        <v>4566</v>
      </c>
      <c r="E24" s="513"/>
    </row>
    <row r="25" spans="1:9" ht="16.5" x14ac:dyDescent="0.35">
      <c r="A25" s="521" t="s">
        <v>346</v>
      </c>
      <c r="B25" s="277" t="s">
        <v>347</v>
      </c>
      <c r="C25" s="528">
        <v>7428</v>
      </c>
      <c r="D25" s="529">
        <v>11034.5</v>
      </c>
      <c r="E25" s="513"/>
    </row>
    <row r="26" spans="1:9" ht="16.5" x14ac:dyDescent="0.35">
      <c r="A26" s="521" t="s">
        <v>348</v>
      </c>
      <c r="B26" s="277" t="s">
        <v>349</v>
      </c>
      <c r="C26" s="528">
        <v>3796</v>
      </c>
      <c r="D26" s="529">
        <v>3800</v>
      </c>
      <c r="E26" s="513"/>
    </row>
    <row r="27" spans="1:9" ht="16.5" x14ac:dyDescent="0.35">
      <c r="A27" s="521" t="s">
        <v>350</v>
      </c>
      <c r="B27" s="277" t="s">
        <v>351</v>
      </c>
      <c r="C27" s="528">
        <v>31447</v>
      </c>
      <c r="D27" s="529">
        <v>26000</v>
      </c>
      <c r="E27" s="513"/>
    </row>
    <row r="28" spans="1:9" ht="16.5" x14ac:dyDescent="0.35">
      <c r="A28" s="521" t="s">
        <v>352</v>
      </c>
      <c r="B28" s="277" t="s">
        <v>353</v>
      </c>
      <c r="C28" s="528">
        <v>2306.4</v>
      </c>
      <c r="D28" s="529">
        <v>2300</v>
      </c>
      <c r="E28" s="513"/>
    </row>
    <row r="29" spans="1:9" ht="16.5" x14ac:dyDescent="0.35">
      <c r="A29" s="521" t="s">
        <v>385</v>
      </c>
      <c r="B29" s="277" t="s">
        <v>471</v>
      </c>
      <c r="C29" s="528">
        <v>2404.4</v>
      </c>
      <c r="D29" s="529"/>
      <c r="E29" s="513"/>
    </row>
    <row r="30" spans="1:9" s="377" customFormat="1" ht="33" x14ac:dyDescent="0.35">
      <c r="A30" s="525">
        <v>5</v>
      </c>
      <c r="B30" s="512" t="s">
        <v>354</v>
      </c>
      <c r="C30" s="536">
        <v>3333</v>
      </c>
      <c r="D30" s="537">
        <v>3520</v>
      </c>
      <c r="E30" s="512"/>
    </row>
    <row r="31" spans="1:9" s="377" customFormat="1" ht="66" x14ac:dyDescent="0.35">
      <c r="A31" s="538">
        <v>6</v>
      </c>
      <c r="B31" s="512" t="s">
        <v>357</v>
      </c>
      <c r="C31" s="539"/>
      <c r="D31" s="516">
        <v>1000</v>
      </c>
      <c r="E31" s="512"/>
    </row>
    <row r="32" spans="1:9" s="377" customFormat="1" ht="33" x14ac:dyDescent="0.35">
      <c r="A32" s="538">
        <v>7</v>
      </c>
      <c r="B32" s="512" t="s">
        <v>358</v>
      </c>
      <c r="C32" s="539">
        <v>174</v>
      </c>
      <c r="D32" s="540">
        <v>3500</v>
      </c>
      <c r="E32" s="515"/>
    </row>
    <row r="33" spans="1:9" s="377" customFormat="1" ht="16.5" x14ac:dyDescent="0.35">
      <c r="A33" s="509" t="s">
        <v>81</v>
      </c>
      <c r="B33" s="511" t="s">
        <v>355</v>
      </c>
      <c r="C33" s="541">
        <f>C34+C38+C53+C56</f>
        <v>138682.79999999999</v>
      </c>
      <c r="D33" s="542">
        <f>D34+D38+D53+D56</f>
        <v>199000.39263700001</v>
      </c>
      <c r="E33" s="511"/>
      <c r="F33" s="357"/>
      <c r="I33" s="357"/>
    </row>
    <row r="34" spans="1:9" s="377" customFormat="1" ht="16.5" x14ac:dyDescent="0.35">
      <c r="A34" s="538">
        <v>1</v>
      </c>
      <c r="B34" s="515" t="s">
        <v>356</v>
      </c>
      <c r="C34" s="539">
        <f>SUM(C35:C37)</f>
        <v>3507.4</v>
      </c>
      <c r="D34" s="540">
        <f>SUM(D35:D37)</f>
        <v>8020</v>
      </c>
      <c r="E34" s="515"/>
      <c r="F34" s="357"/>
      <c r="I34" s="357"/>
    </row>
    <row r="35" spans="1:9" s="377" customFormat="1" ht="33" x14ac:dyDescent="0.35">
      <c r="A35" s="543">
        <v>1.1000000000000001</v>
      </c>
      <c r="B35" s="517" t="s">
        <v>354</v>
      </c>
      <c r="C35" s="544">
        <v>3333.4</v>
      </c>
      <c r="D35" s="545">
        <v>3520</v>
      </c>
      <c r="E35" s="546"/>
    </row>
    <row r="36" spans="1:9" s="377" customFormat="1" ht="49.5" x14ac:dyDescent="0.35">
      <c r="A36" s="543">
        <v>1.2</v>
      </c>
      <c r="B36" s="513" t="s">
        <v>357</v>
      </c>
      <c r="C36" s="547"/>
      <c r="D36" s="518">
        <v>1000</v>
      </c>
      <c r="E36" s="546"/>
    </row>
    <row r="37" spans="1:9" s="377" customFormat="1" ht="33" x14ac:dyDescent="0.35">
      <c r="A37" s="543">
        <v>1.3</v>
      </c>
      <c r="B37" s="513" t="s">
        <v>358</v>
      </c>
      <c r="C37" s="547">
        <v>174</v>
      </c>
      <c r="D37" s="548">
        <v>3500</v>
      </c>
      <c r="E37" s="546"/>
    </row>
    <row r="38" spans="1:9" s="377" customFormat="1" ht="16.5" x14ac:dyDescent="0.35">
      <c r="A38" s="525">
        <v>2</v>
      </c>
      <c r="B38" s="512" t="s">
        <v>359</v>
      </c>
      <c r="C38" s="536">
        <f>C39+SUM(C44:C52)</f>
        <v>98798.200000000012</v>
      </c>
      <c r="D38" s="537">
        <f>D39+SUM(D44:D52)</f>
        <v>137736.64377700002</v>
      </c>
      <c r="E38" s="512"/>
    </row>
    <row r="39" spans="1:9" s="491" customFormat="1" ht="16.5" x14ac:dyDescent="0.35">
      <c r="A39" s="521" t="s">
        <v>332</v>
      </c>
      <c r="B39" s="519" t="s">
        <v>360</v>
      </c>
      <c r="C39" s="528">
        <f>SUM(C40:C43)</f>
        <v>60368.4</v>
      </c>
      <c r="D39" s="529">
        <f>SUM(D40:D43)</f>
        <v>68515.537519999998</v>
      </c>
      <c r="E39" s="549"/>
    </row>
    <row r="40" spans="1:9" ht="18" customHeight="1" x14ac:dyDescent="0.35">
      <c r="A40" s="521"/>
      <c r="B40" s="519" t="s">
        <v>361</v>
      </c>
      <c r="C40" s="528">
        <v>46509.4</v>
      </c>
      <c r="D40" s="529">
        <v>49903.392</v>
      </c>
      <c r="E40" s="521"/>
      <c r="F40" s="350"/>
    </row>
    <row r="41" spans="1:9" ht="18" customHeight="1" x14ac:dyDescent="0.35">
      <c r="A41" s="521"/>
      <c r="B41" s="519" t="s">
        <v>362</v>
      </c>
      <c r="C41" s="528">
        <v>8305</v>
      </c>
      <c r="D41" s="529">
        <v>10756.14552</v>
      </c>
      <c r="E41" s="521"/>
      <c r="F41" s="350"/>
    </row>
    <row r="42" spans="1:9" ht="18" customHeight="1" x14ac:dyDescent="0.35">
      <c r="A42" s="521"/>
      <c r="B42" s="519" t="s">
        <v>363</v>
      </c>
      <c r="C42" s="528">
        <v>3409</v>
      </c>
      <c r="D42" s="529">
        <v>5256</v>
      </c>
      <c r="E42" s="521"/>
      <c r="F42" s="350"/>
    </row>
    <row r="43" spans="1:9" ht="18" customHeight="1" x14ac:dyDescent="0.35">
      <c r="A43" s="521"/>
      <c r="B43" s="519" t="s">
        <v>464</v>
      </c>
      <c r="C43" s="528">
        <v>2145</v>
      </c>
      <c r="D43" s="529">
        <v>2600</v>
      </c>
      <c r="E43" s="521"/>
    </row>
    <row r="44" spans="1:9" ht="18" customHeight="1" x14ac:dyDescent="0.35">
      <c r="A44" s="521" t="s">
        <v>334</v>
      </c>
      <c r="B44" s="520" t="s">
        <v>364</v>
      </c>
      <c r="C44" s="528">
        <f>8455</f>
        <v>8455</v>
      </c>
      <c r="D44" s="529">
        <f>18796.106257</f>
        <v>18796.106256999999</v>
      </c>
      <c r="E44" s="521"/>
    </row>
    <row r="45" spans="1:9" ht="18" customHeight="1" x14ac:dyDescent="0.35">
      <c r="A45" s="521" t="s">
        <v>365</v>
      </c>
      <c r="B45" s="513" t="s">
        <v>366</v>
      </c>
      <c r="C45" s="528">
        <f>11009-C50</f>
        <v>10540.2664</v>
      </c>
      <c r="D45" s="529">
        <v>20000</v>
      </c>
      <c r="E45" s="521"/>
    </row>
    <row r="46" spans="1:9" ht="32.25" customHeight="1" x14ac:dyDescent="0.35">
      <c r="A46" s="521" t="s">
        <v>336</v>
      </c>
      <c r="B46" s="513" t="s">
        <v>367</v>
      </c>
      <c r="C46" s="528">
        <f>6798.4+1641</f>
        <v>8439.4</v>
      </c>
      <c r="D46" s="529">
        <v>25575</v>
      </c>
      <c r="E46" s="521"/>
    </row>
    <row r="47" spans="1:9" ht="16.5" x14ac:dyDescent="0.35">
      <c r="A47" s="521" t="s">
        <v>338</v>
      </c>
      <c r="B47" s="519" t="s">
        <v>368</v>
      </c>
      <c r="C47" s="528">
        <v>343.4</v>
      </c>
      <c r="D47" s="529">
        <v>800</v>
      </c>
      <c r="E47" s="521"/>
    </row>
    <row r="48" spans="1:9" ht="49.5" x14ac:dyDescent="0.35">
      <c r="A48" s="521" t="s">
        <v>369</v>
      </c>
      <c r="B48" s="519" t="s">
        <v>370</v>
      </c>
      <c r="C48" s="528">
        <f>8527+237</f>
        <v>8764</v>
      </c>
      <c r="D48" s="529"/>
      <c r="E48" s="550" t="s">
        <v>472</v>
      </c>
    </row>
    <row r="49" spans="1:5" x14ac:dyDescent="0.35">
      <c r="A49" s="301"/>
      <c r="B49" s="388"/>
      <c r="C49" s="335"/>
      <c r="D49" s="484"/>
      <c r="E49" s="407"/>
    </row>
    <row r="50" spans="1:5" x14ac:dyDescent="0.35">
      <c r="A50" s="301" t="s">
        <v>372</v>
      </c>
      <c r="B50" s="388" t="s">
        <v>373</v>
      </c>
      <c r="C50" s="335">
        <v>468.73360000000002</v>
      </c>
      <c r="D50" s="484">
        <v>1300</v>
      </c>
      <c r="E50" s="407"/>
    </row>
    <row r="51" spans="1:5" ht="28" x14ac:dyDescent="0.35">
      <c r="A51" s="301" t="s">
        <v>374</v>
      </c>
      <c r="B51" s="388" t="s">
        <v>375</v>
      </c>
      <c r="C51" s="335">
        <v>300</v>
      </c>
      <c r="D51" s="484">
        <v>1250</v>
      </c>
      <c r="E51" s="407"/>
    </row>
    <row r="52" spans="1:5" x14ac:dyDescent="0.35">
      <c r="A52" s="301" t="s">
        <v>376</v>
      </c>
      <c r="B52" s="388" t="s">
        <v>377</v>
      </c>
      <c r="C52" s="335">
        <v>1119</v>
      </c>
      <c r="D52" s="484">
        <v>1500</v>
      </c>
      <c r="E52" s="485"/>
    </row>
    <row r="53" spans="1:5" s="377" customFormat="1" ht="15" x14ac:dyDescent="0.35">
      <c r="A53" s="297">
        <v>3</v>
      </c>
      <c r="B53" s="492" t="s">
        <v>378</v>
      </c>
      <c r="C53" s="339">
        <f>SUM(C54:C55)</f>
        <v>77.400000000000006</v>
      </c>
      <c r="D53" s="488">
        <f>SUM(D54:D55)</f>
        <v>13673.548859999999</v>
      </c>
      <c r="E53" s="487"/>
    </row>
    <row r="54" spans="1:5" s="377" customFormat="1" x14ac:dyDescent="0.35">
      <c r="A54" s="301" t="s">
        <v>340</v>
      </c>
      <c r="B54" s="334" t="s">
        <v>379</v>
      </c>
      <c r="C54" s="335"/>
      <c r="D54" s="484">
        <f>16587.54886-3000</f>
        <v>13587.548859999999</v>
      </c>
      <c r="E54" s="487"/>
    </row>
    <row r="55" spans="1:5" x14ac:dyDescent="0.35">
      <c r="A55" s="301" t="s">
        <v>380</v>
      </c>
      <c r="B55" s="334" t="s">
        <v>342</v>
      </c>
      <c r="C55" s="335">
        <v>77.400000000000006</v>
      </c>
      <c r="D55" s="484">
        <v>86</v>
      </c>
      <c r="E55" s="485"/>
    </row>
    <row r="56" spans="1:5" s="377" customFormat="1" ht="15" x14ac:dyDescent="0.35">
      <c r="A56" s="493">
        <v>4</v>
      </c>
      <c r="B56" s="494" t="s">
        <v>381</v>
      </c>
      <c r="C56" s="482">
        <f>SUM(C57:C64)</f>
        <v>36299.800000000003</v>
      </c>
      <c r="D56" s="483">
        <f>SUM(D57:D64)</f>
        <v>39570.199999999997</v>
      </c>
      <c r="E56" s="490"/>
    </row>
    <row r="57" spans="1:5" x14ac:dyDescent="0.35">
      <c r="A57" s="301" t="s">
        <v>344</v>
      </c>
      <c r="B57" s="388" t="s">
        <v>382</v>
      </c>
      <c r="C57" s="335">
        <v>7742</v>
      </c>
      <c r="D57" s="484">
        <v>7500</v>
      </c>
      <c r="E57" s="485"/>
    </row>
    <row r="58" spans="1:5" x14ac:dyDescent="0.35">
      <c r="A58" s="301" t="s">
        <v>346</v>
      </c>
      <c r="B58" s="489" t="s">
        <v>462</v>
      </c>
      <c r="C58" s="335">
        <v>499</v>
      </c>
      <c r="D58" s="484">
        <f>D19*0.8</f>
        <v>640</v>
      </c>
      <c r="E58" s="485"/>
    </row>
    <row r="59" spans="1:5" x14ac:dyDescent="0.35">
      <c r="A59" s="301" t="s">
        <v>348</v>
      </c>
      <c r="B59" s="489" t="s">
        <v>463</v>
      </c>
      <c r="C59" s="335">
        <v>2793.4</v>
      </c>
      <c r="D59" s="484">
        <f>D24*0.7</f>
        <v>3196.2</v>
      </c>
      <c r="E59" s="485"/>
    </row>
    <row r="60" spans="1:5" x14ac:dyDescent="0.35">
      <c r="A60" s="301" t="s">
        <v>350</v>
      </c>
      <c r="B60" s="489" t="s">
        <v>383</v>
      </c>
      <c r="C60" s="335">
        <v>7605.4</v>
      </c>
      <c r="D60" s="484">
        <f>8347</f>
        <v>8347</v>
      </c>
      <c r="E60" s="485"/>
    </row>
    <row r="61" spans="1:5" x14ac:dyDescent="0.35">
      <c r="A61" s="301" t="s">
        <v>352</v>
      </c>
      <c r="B61" s="489" t="s">
        <v>384</v>
      </c>
      <c r="C61" s="335">
        <v>17192</v>
      </c>
      <c r="D61" s="484">
        <v>18000</v>
      </c>
      <c r="E61" s="485"/>
    </row>
    <row r="62" spans="1:5" x14ac:dyDescent="0.35">
      <c r="A62" s="301" t="s">
        <v>385</v>
      </c>
      <c r="B62" s="489" t="s">
        <v>386</v>
      </c>
      <c r="C62" s="335">
        <v>195</v>
      </c>
      <c r="D62" s="484">
        <v>250</v>
      </c>
      <c r="E62" s="485"/>
    </row>
    <row r="63" spans="1:5" x14ac:dyDescent="0.35">
      <c r="A63" s="301" t="s">
        <v>387</v>
      </c>
      <c r="B63" s="489" t="s">
        <v>474</v>
      </c>
      <c r="C63" s="335"/>
      <c r="D63" s="484">
        <v>1437</v>
      </c>
      <c r="E63" s="485"/>
    </row>
    <row r="64" spans="1:5" x14ac:dyDescent="0.35">
      <c r="A64" s="301" t="s">
        <v>388</v>
      </c>
      <c r="B64" s="489" t="s">
        <v>389</v>
      </c>
      <c r="C64" s="335">
        <v>273</v>
      </c>
      <c r="D64" s="484">
        <v>200</v>
      </c>
      <c r="E64" s="485"/>
    </row>
    <row r="65" spans="1:9" s="377" customFormat="1" ht="22.5" customHeight="1" x14ac:dyDescent="0.35">
      <c r="A65" s="281" t="s">
        <v>117</v>
      </c>
      <c r="B65" s="282" t="s">
        <v>390</v>
      </c>
      <c r="C65" s="225">
        <f>C7-C33</f>
        <v>190684</v>
      </c>
      <c r="D65" s="476">
        <f>D7-D33</f>
        <v>140898.04540300003</v>
      </c>
      <c r="E65" s="396"/>
      <c r="F65" s="357"/>
    </row>
    <row r="66" spans="1:9" s="377" customFormat="1" ht="40.25" customHeight="1" x14ac:dyDescent="0.35">
      <c r="A66" s="281" t="s">
        <v>391</v>
      </c>
      <c r="B66" s="282" t="s">
        <v>392</v>
      </c>
      <c r="C66" s="227">
        <f>SUM(C67:C71)</f>
        <v>899561</v>
      </c>
      <c r="D66" s="478">
        <f>SUM(D67:D71)</f>
        <v>984705</v>
      </c>
      <c r="E66" s="383" t="s">
        <v>393</v>
      </c>
      <c r="F66" s="357"/>
      <c r="I66" s="357"/>
    </row>
    <row r="67" spans="1:9" x14ac:dyDescent="0.35">
      <c r="A67" s="279">
        <v>1</v>
      </c>
      <c r="B67" s="384" t="s">
        <v>394</v>
      </c>
      <c r="C67" s="386">
        <f>24141+47928</f>
        <v>72069</v>
      </c>
      <c r="D67" s="495">
        <f>29202+45290</f>
        <v>74492</v>
      </c>
      <c r="E67" s="387"/>
    </row>
    <row r="68" spans="1:9" ht="56" x14ac:dyDescent="0.35">
      <c r="A68" s="283">
        <v>2</v>
      </c>
      <c r="B68" s="284" t="s">
        <v>395</v>
      </c>
      <c r="C68" s="226">
        <v>629469</v>
      </c>
      <c r="D68" s="477">
        <f>678474</f>
        <v>678474</v>
      </c>
      <c r="E68" s="479" t="s">
        <v>562</v>
      </c>
      <c r="F68" s="350"/>
    </row>
    <row r="69" spans="1:9" ht="31.5" customHeight="1" x14ac:dyDescent="0.35">
      <c r="A69" s="301">
        <v>3</v>
      </c>
      <c r="B69" s="388" t="s">
        <v>396</v>
      </c>
      <c r="C69" s="335">
        <v>107447</v>
      </c>
      <c r="D69" s="484">
        <v>126365</v>
      </c>
      <c r="E69" s="390"/>
      <c r="F69" s="496"/>
      <c r="G69" s="497"/>
    </row>
    <row r="70" spans="1:9" ht="15.75" customHeight="1" x14ac:dyDescent="0.35">
      <c r="A70" s="391">
        <v>4</v>
      </c>
      <c r="B70" s="392" t="s">
        <v>397</v>
      </c>
      <c r="C70" s="336"/>
      <c r="D70" s="484">
        <v>3825</v>
      </c>
      <c r="E70" s="394"/>
      <c r="F70" s="350"/>
    </row>
    <row r="71" spans="1:9" x14ac:dyDescent="0.35">
      <c r="A71" s="391">
        <v>5</v>
      </c>
      <c r="B71" s="392" t="s">
        <v>398</v>
      </c>
      <c r="C71" s="336">
        <v>90576</v>
      </c>
      <c r="D71" s="486">
        <v>101549</v>
      </c>
      <c r="E71" s="395"/>
      <c r="F71" s="350"/>
    </row>
    <row r="72" spans="1:9" s="377" customFormat="1" ht="19.5" customHeight="1" x14ac:dyDescent="0.35">
      <c r="A72" s="281" t="s">
        <v>399</v>
      </c>
      <c r="B72" s="282" t="s">
        <v>400</v>
      </c>
      <c r="C72" s="227">
        <f>SUM(C73:C77)</f>
        <v>190704.8</v>
      </c>
      <c r="D72" s="478">
        <f>SUM(D73:D77)</f>
        <v>140898.04540300003</v>
      </c>
      <c r="E72" s="396"/>
      <c r="F72" s="357"/>
      <c r="I72" s="357"/>
    </row>
    <row r="73" spans="1:9" x14ac:dyDescent="0.35">
      <c r="A73" s="279">
        <v>1</v>
      </c>
      <c r="B73" s="384" t="s">
        <v>394</v>
      </c>
      <c r="C73" s="386">
        <v>18000</v>
      </c>
      <c r="D73" s="495">
        <v>18000</v>
      </c>
      <c r="E73" s="387"/>
    </row>
    <row r="74" spans="1:9" x14ac:dyDescent="0.35">
      <c r="A74" s="283">
        <v>2</v>
      </c>
      <c r="B74" s="284" t="s">
        <v>395</v>
      </c>
      <c r="C74" s="226">
        <v>49000</v>
      </c>
      <c r="D74" s="477">
        <f>D65*0.25</f>
        <v>35224.511350750006</v>
      </c>
      <c r="E74" s="286">
        <v>0.25</v>
      </c>
      <c r="F74" s="350"/>
    </row>
    <row r="75" spans="1:9" x14ac:dyDescent="0.35">
      <c r="A75" s="301">
        <v>3</v>
      </c>
      <c r="B75" s="388" t="s">
        <v>401</v>
      </c>
      <c r="C75" s="335">
        <v>88524.4</v>
      </c>
      <c r="D75" s="484">
        <f>D65-D73-D74-D76-D77</f>
        <v>46517.937150250014</v>
      </c>
      <c r="E75" s="390"/>
      <c r="F75" s="496"/>
      <c r="G75" s="497"/>
    </row>
    <row r="76" spans="1:9" ht="15" customHeight="1" x14ac:dyDescent="0.35">
      <c r="A76" s="391">
        <v>4</v>
      </c>
      <c r="B76" s="392" t="s">
        <v>397</v>
      </c>
      <c r="C76" s="336">
        <v>5500</v>
      </c>
      <c r="D76" s="484">
        <f>(D8*5%)+3500</f>
        <v>16705.596902000005</v>
      </c>
      <c r="E76" s="399" t="s">
        <v>466</v>
      </c>
      <c r="F76" s="350"/>
    </row>
    <row r="77" spans="1:9" ht="30" customHeight="1" x14ac:dyDescent="0.35">
      <c r="A77" s="391">
        <v>5</v>
      </c>
      <c r="B77" s="392" t="s">
        <v>398</v>
      </c>
      <c r="C77" s="336">
        <v>29680.400000000001</v>
      </c>
      <c r="D77" s="486">
        <f>D27-(D27*0.05)-D62</f>
        <v>24450</v>
      </c>
      <c r="E77" s="400" t="s">
        <v>402</v>
      </c>
      <c r="F77" s="350"/>
    </row>
    <row r="78" spans="1:9" x14ac:dyDescent="0.35">
      <c r="A78" s="271" t="s">
        <v>403</v>
      </c>
      <c r="B78" s="282" t="s">
        <v>404</v>
      </c>
      <c r="C78" s="225">
        <f>SUM(C79:C82)+C90</f>
        <v>110125</v>
      </c>
      <c r="D78" s="476">
        <f>SUM(D79:D82)+D90</f>
        <v>201884.12775000001</v>
      </c>
      <c r="E78" s="287"/>
    </row>
    <row r="79" spans="1:9" x14ac:dyDescent="0.35">
      <c r="A79" s="401">
        <v>1</v>
      </c>
      <c r="B79" s="505" t="s">
        <v>394</v>
      </c>
      <c r="C79" s="404">
        <v>15578</v>
      </c>
      <c r="D79" s="498">
        <f>'Lương 2024'!D31</f>
        <v>19350</v>
      </c>
      <c r="E79" s="405"/>
    </row>
    <row r="80" spans="1:9" ht="31.5" customHeight="1" x14ac:dyDescent="0.35">
      <c r="A80" s="301">
        <v>2</v>
      </c>
      <c r="B80" s="506" t="s">
        <v>396</v>
      </c>
      <c r="C80" s="335">
        <v>69635</v>
      </c>
      <c r="D80" s="484">
        <f>'Lương 2024'!D18+2500</f>
        <v>80285.354080000005</v>
      </c>
      <c r="E80" s="407"/>
    </row>
    <row r="81" spans="1:5" ht="36" customHeight="1" x14ac:dyDescent="0.35">
      <c r="A81" s="301">
        <v>3</v>
      </c>
      <c r="B81" s="507" t="s">
        <v>397</v>
      </c>
      <c r="C81" s="335">
        <v>1675</v>
      </c>
      <c r="D81" s="484">
        <f>11249.45367+9937.32-1000</f>
        <v>20186.773670000002</v>
      </c>
      <c r="E81" s="280" t="s">
        <v>473</v>
      </c>
    </row>
    <row r="82" spans="1:5" ht="16.5" customHeight="1" x14ac:dyDescent="0.35">
      <c r="A82" s="301">
        <v>4</v>
      </c>
      <c r="B82" s="284" t="s">
        <v>395</v>
      </c>
      <c r="C82" s="335">
        <v>4185</v>
      </c>
      <c r="D82" s="484">
        <f>SUM(D83:D89)</f>
        <v>52062</v>
      </c>
      <c r="E82" s="407"/>
    </row>
    <row r="83" spans="1:5" ht="16.5" customHeight="1" x14ac:dyDescent="0.35">
      <c r="A83" s="301"/>
      <c r="B83" s="284" t="s">
        <v>453</v>
      </c>
      <c r="C83" s="335"/>
      <c r="D83" s="484">
        <v>425</v>
      </c>
      <c r="E83" s="407"/>
    </row>
    <row r="84" spans="1:5" ht="16.5" customHeight="1" x14ac:dyDescent="0.35">
      <c r="A84" s="301"/>
      <c r="B84" s="284" t="s">
        <v>454</v>
      </c>
      <c r="C84" s="335"/>
      <c r="D84" s="484">
        <v>5230</v>
      </c>
      <c r="E84" s="407"/>
    </row>
    <row r="85" spans="1:5" x14ac:dyDescent="0.35">
      <c r="A85" s="301"/>
      <c r="B85" s="284" t="s">
        <v>455</v>
      </c>
      <c r="C85" s="335"/>
      <c r="D85" s="484">
        <v>3681</v>
      </c>
      <c r="E85" s="407"/>
    </row>
    <row r="86" spans="1:5" ht="26.25" customHeight="1" x14ac:dyDescent="0.35">
      <c r="A86" s="301"/>
      <c r="B86" s="284" t="s">
        <v>456</v>
      </c>
      <c r="C86" s="335"/>
      <c r="D86" s="484">
        <v>26500</v>
      </c>
      <c r="E86" s="407"/>
    </row>
    <row r="87" spans="1:5" x14ac:dyDescent="0.35">
      <c r="A87" s="301"/>
      <c r="B87" s="284" t="s">
        <v>457</v>
      </c>
      <c r="C87" s="335"/>
      <c r="D87" s="484">
        <v>10000</v>
      </c>
      <c r="E87" s="407"/>
    </row>
    <row r="88" spans="1:5" x14ac:dyDescent="0.35">
      <c r="A88" s="301"/>
      <c r="B88" s="284" t="s">
        <v>458</v>
      </c>
      <c r="C88" s="335"/>
      <c r="D88" s="484">
        <v>5300</v>
      </c>
      <c r="E88" s="407"/>
    </row>
    <row r="89" spans="1:5" ht="31" x14ac:dyDescent="0.35">
      <c r="A89" s="301"/>
      <c r="B89" s="284" t="s">
        <v>459</v>
      </c>
      <c r="C89" s="335"/>
      <c r="D89" s="484">
        <v>926</v>
      </c>
      <c r="E89" s="407"/>
    </row>
    <row r="90" spans="1:5" x14ac:dyDescent="0.35">
      <c r="A90" s="301">
        <v>5</v>
      </c>
      <c r="B90" s="388" t="s">
        <v>409</v>
      </c>
      <c r="C90" s="335">
        <f>SUM(C91:C92)</f>
        <v>19052</v>
      </c>
      <c r="D90" s="484">
        <f>SUM(D91:D92)</f>
        <v>30000</v>
      </c>
      <c r="E90" s="407"/>
    </row>
    <row r="91" spans="1:5" ht="28" x14ac:dyDescent="0.35">
      <c r="A91" s="301"/>
      <c r="B91" s="392" t="s">
        <v>548</v>
      </c>
      <c r="C91" s="336">
        <v>19052</v>
      </c>
      <c r="D91" s="486">
        <v>25000</v>
      </c>
      <c r="E91" s="412"/>
    </row>
    <row r="92" spans="1:5" ht="20" customHeight="1" x14ac:dyDescent="0.35">
      <c r="A92" s="301"/>
      <c r="B92" s="413" t="s">
        <v>460</v>
      </c>
      <c r="C92" s="415"/>
      <c r="D92" s="499">
        <v>5000</v>
      </c>
      <c r="E92" s="416"/>
    </row>
    <row r="93" spans="1:5" ht="24" customHeight="1" x14ac:dyDescent="0.35">
      <c r="A93" s="271" t="s">
        <v>406</v>
      </c>
      <c r="B93" s="282" t="s">
        <v>407</v>
      </c>
      <c r="C93" s="225">
        <f>SUM(C94:C98)</f>
        <v>984704.8</v>
      </c>
      <c r="D93" s="476">
        <f>SUM(D94:D98)</f>
        <v>923718.91765299998</v>
      </c>
      <c r="E93" s="417"/>
    </row>
    <row r="94" spans="1:5" x14ac:dyDescent="0.35">
      <c r="A94" s="401">
        <v>1</v>
      </c>
      <c r="B94" s="402" t="s">
        <v>394</v>
      </c>
      <c r="C94" s="404">
        <f>C67+C73-C79</f>
        <v>74491</v>
      </c>
      <c r="D94" s="498">
        <f>D67+D73-D79</f>
        <v>73142</v>
      </c>
      <c r="E94" s="290"/>
    </row>
    <row r="95" spans="1:5" x14ac:dyDescent="0.35">
      <c r="A95" s="301">
        <v>2</v>
      </c>
      <c r="B95" s="388" t="s">
        <v>408</v>
      </c>
      <c r="C95" s="335">
        <f>C68+C74-C82+4185+5</f>
        <v>678474</v>
      </c>
      <c r="D95" s="484">
        <f>D68+D74-D82</f>
        <v>661636.51135074999</v>
      </c>
      <c r="E95" s="285"/>
    </row>
    <row r="96" spans="1:5" x14ac:dyDescent="0.35">
      <c r="A96" s="301">
        <v>3</v>
      </c>
      <c r="B96" s="388" t="s">
        <v>401</v>
      </c>
      <c r="C96" s="335">
        <f>C69+C75-C80+29</f>
        <v>126365.4</v>
      </c>
      <c r="D96" s="484">
        <f>D69+D75-D80</f>
        <v>92597.58307025001</v>
      </c>
      <c r="E96" s="407"/>
    </row>
    <row r="97" spans="1:5" ht="18" customHeight="1" x14ac:dyDescent="0.35">
      <c r="A97" s="301">
        <v>4</v>
      </c>
      <c r="B97" s="392" t="s">
        <v>397</v>
      </c>
      <c r="C97" s="335">
        <f>C76+C70-C81</f>
        <v>3825</v>
      </c>
      <c r="D97" s="484">
        <f>D76+D70-D81</f>
        <v>343.82323200000246</v>
      </c>
      <c r="E97" s="407"/>
    </row>
    <row r="98" spans="1:5" x14ac:dyDescent="0.35">
      <c r="A98" s="301">
        <v>5</v>
      </c>
      <c r="B98" s="388" t="s">
        <v>409</v>
      </c>
      <c r="C98" s="335">
        <f>C71+C77-C90+345</f>
        <v>101549.4</v>
      </c>
      <c r="D98" s="484">
        <f>D71+D77-D90</f>
        <v>95999</v>
      </c>
      <c r="E98" s="407"/>
    </row>
    <row r="99" spans="1:5" ht="8.25" customHeight="1" x14ac:dyDescent="0.35">
      <c r="A99" s="500"/>
      <c r="B99" s="413"/>
      <c r="C99" s="415"/>
      <c r="D99" s="499"/>
      <c r="E99" s="416"/>
    </row>
    <row r="100" spans="1:5" x14ac:dyDescent="0.35">
      <c r="A100" s="708" t="s">
        <v>470</v>
      </c>
      <c r="B100" s="708"/>
      <c r="C100" s="708"/>
      <c r="D100" s="708"/>
      <c r="E100" s="708"/>
    </row>
    <row r="101" spans="1:5" ht="16.5" x14ac:dyDescent="0.35">
      <c r="A101" s="501"/>
      <c r="C101" s="709" t="s">
        <v>467</v>
      </c>
      <c r="D101" s="709"/>
      <c r="E101" s="709"/>
    </row>
    <row r="102" spans="1:5" ht="15.65" customHeight="1" x14ac:dyDescent="0.35">
      <c r="A102" s="707"/>
      <c r="B102" s="707"/>
      <c r="C102" s="704" t="s">
        <v>468</v>
      </c>
      <c r="D102" s="704"/>
      <c r="E102" s="704"/>
    </row>
    <row r="103" spans="1:5" ht="16.5" x14ac:dyDescent="0.35">
      <c r="A103" s="501"/>
      <c r="B103" s="502"/>
      <c r="C103" s="503"/>
      <c r="D103" s="504"/>
      <c r="E103" s="503"/>
    </row>
    <row r="104" spans="1:5" ht="16.5" x14ac:dyDescent="0.35">
      <c r="A104" s="501"/>
      <c r="B104" s="502"/>
      <c r="C104" s="503"/>
      <c r="D104" s="504"/>
      <c r="E104" s="503"/>
    </row>
    <row r="105" spans="1:5" ht="16.5" x14ac:dyDescent="0.35">
      <c r="A105" s="501"/>
      <c r="B105" s="502"/>
      <c r="C105" s="503"/>
      <c r="D105" s="504"/>
      <c r="E105" s="503"/>
    </row>
    <row r="106" spans="1:5" ht="16.5" x14ac:dyDescent="0.35">
      <c r="A106" s="501"/>
      <c r="B106" s="502"/>
      <c r="C106" s="503"/>
      <c r="D106" s="504"/>
      <c r="E106" s="503"/>
    </row>
    <row r="107" spans="1:5" ht="16.5" x14ac:dyDescent="0.35">
      <c r="A107" s="501"/>
      <c r="B107" s="502"/>
      <c r="C107" s="503"/>
      <c r="D107" s="504"/>
      <c r="E107" s="503"/>
    </row>
    <row r="108" spans="1:5" ht="15.65" customHeight="1" x14ac:dyDescent="0.35">
      <c r="A108" s="703"/>
      <c r="B108" s="703"/>
      <c r="C108" s="704" t="s">
        <v>410</v>
      </c>
      <c r="D108" s="704"/>
      <c r="E108" s="704"/>
    </row>
    <row r="116" spans="2:3" x14ac:dyDescent="0.35">
      <c r="B116" s="330" t="s">
        <v>405</v>
      </c>
      <c r="C116" s="350"/>
    </row>
  </sheetData>
  <mergeCells count="10">
    <mergeCell ref="A108:B108"/>
    <mergeCell ref="C108:E108"/>
    <mergeCell ref="A1:B1"/>
    <mergeCell ref="A2:B2"/>
    <mergeCell ref="A4:E4"/>
    <mergeCell ref="C5:E5"/>
    <mergeCell ref="A102:B102"/>
    <mergeCell ref="C102:E102"/>
    <mergeCell ref="A100:E100"/>
    <mergeCell ref="C101:E101"/>
  </mergeCells>
  <pageMargins left="0.77" right="0.23622047244094491" top="0.7" bottom="0.62992125984251968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H47"/>
  <sheetViews>
    <sheetView topLeftCell="A10" workbookViewId="0">
      <selection activeCell="C17" sqref="C17"/>
    </sheetView>
  </sheetViews>
  <sheetFormatPr defaultRowHeight="15.5" x14ac:dyDescent="0.35"/>
  <cols>
    <col min="1" max="1" width="7.90625" style="229" customWidth="1"/>
    <col min="2" max="2" width="53.36328125" style="229" customWidth="1"/>
    <col min="3" max="4" width="25.453125" style="229" customWidth="1"/>
    <col min="5" max="5" width="28.36328125" style="229" customWidth="1"/>
    <col min="6" max="7" width="9.08984375" style="229"/>
    <col min="8" max="8" width="20.08984375" style="229" bestFit="1" customWidth="1"/>
    <col min="9" max="257" width="9.08984375" style="229"/>
    <col min="258" max="258" width="7.90625" style="229" customWidth="1"/>
    <col min="259" max="259" width="53.36328125" style="229" customWidth="1"/>
    <col min="260" max="260" width="25.453125" style="229" customWidth="1"/>
    <col min="261" max="261" width="28.36328125" style="229" customWidth="1"/>
    <col min="262" max="263" width="9.08984375" style="229"/>
    <col min="264" max="264" width="20.08984375" style="229" bestFit="1" customWidth="1"/>
    <col min="265" max="513" width="9.08984375" style="229"/>
    <col min="514" max="514" width="7.90625" style="229" customWidth="1"/>
    <col min="515" max="515" width="53.36328125" style="229" customWidth="1"/>
    <col min="516" max="516" width="25.453125" style="229" customWidth="1"/>
    <col min="517" max="517" width="28.36328125" style="229" customWidth="1"/>
    <col min="518" max="519" width="9.08984375" style="229"/>
    <col min="520" max="520" width="20.08984375" style="229" bestFit="1" customWidth="1"/>
    <col min="521" max="769" width="9.08984375" style="229"/>
    <col min="770" max="770" width="7.90625" style="229" customWidth="1"/>
    <col min="771" max="771" width="53.36328125" style="229" customWidth="1"/>
    <col min="772" max="772" width="25.453125" style="229" customWidth="1"/>
    <col min="773" max="773" width="28.36328125" style="229" customWidth="1"/>
    <col min="774" max="775" width="9.08984375" style="229"/>
    <col min="776" max="776" width="20.08984375" style="229" bestFit="1" customWidth="1"/>
    <col min="777" max="1025" width="9.08984375" style="229"/>
    <col min="1026" max="1026" width="7.90625" style="229" customWidth="1"/>
    <col min="1027" max="1027" width="53.36328125" style="229" customWidth="1"/>
    <col min="1028" max="1028" width="25.453125" style="229" customWidth="1"/>
    <col min="1029" max="1029" width="28.36328125" style="229" customWidth="1"/>
    <col min="1030" max="1031" width="9.08984375" style="229"/>
    <col min="1032" max="1032" width="20.08984375" style="229" bestFit="1" customWidth="1"/>
    <col min="1033" max="1281" width="9.08984375" style="229"/>
    <col min="1282" max="1282" width="7.90625" style="229" customWidth="1"/>
    <col min="1283" max="1283" width="53.36328125" style="229" customWidth="1"/>
    <col min="1284" max="1284" width="25.453125" style="229" customWidth="1"/>
    <col min="1285" max="1285" width="28.36328125" style="229" customWidth="1"/>
    <col min="1286" max="1287" width="9.08984375" style="229"/>
    <col min="1288" max="1288" width="20.08984375" style="229" bestFit="1" customWidth="1"/>
    <col min="1289" max="1537" width="9.08984375" style="229"/>
    <col min="1538" max="1538" width="7.90625" style="229" customWidth="1"/>
    <col min="1539" max="1539" width="53.36328125" style="229" customWidth="1"/>
    <col min="1540" max="1540" width="25.453125" style="229" customWidth="1"/>
    <col min="1541" max="1541" width="28.36328125" style="229" customWidth="1"/>
    <col min="1542" max="1543" width="9.08984375" style="229"/>
    <col min="1544" max="1544" width="20.08984375" style="229" bestFit="1" customWidth="1"/>
    <col min="1545" max="1793" width="9.08984375" style="229"/>
    <col min="1794" max="1794" width="7.90625" style="229" customWidth="1"/>
    <col min="1795" max="1795" width="53.36328125" style="229" customWidth="1"/>
    <col min="1796" max="1796" width="25.453125" style="229" customWidth="1"/>
    <col min="1797" max="1797" width="28.36328125" style="229" customWidth="1"/>
    <col min="1798" max="1799" width="9.08984375" style="229"/>
    <col min="1800" max="1800" width="20.08984375" style="229" bestFit="1" customWidth="1"/>
    <col min="1801" max="2049" width="9.08984375" style="229"/>
    <col min="2050" max="2050" width="7.90625" style="229" customWidth="1"/>
    <col min="2051" max="2051" width="53.36328125" style="229" customWidth="1"/>
    <col min="2052" max="2052" width="25.453125" style="229" customWidth="1"/>
    <col min="2053" max="2053" width="28.36328125" style="229" customWidth="1"/>
    <col min="2054" max="2055" width="9.08984375" style="229"/>
    <col min="2056" max="2056" width="20.08984375" style="229" bestFit="1" customWidth="1"/>
    <col min="2057" max="2305" width="9.08984375" style="229"/>
    <col min="2306" max="2306" width="7.90625" style="229" customWidth="1"/>
    <col min="2307" max="2307" width="53.36328125" style="229" customWidth="1"/>
    <col min="2308" max="2308" width="25.453125" style="229" customWidth="1"/>
    <col min="2309" max="2309" width="28.36328125" style="229" customWidth="1"/>
    <col min="2310" max="2311" width="9.08984375" style="229"/>
    <col min="2312" max="2312" width="20.08984375" style="229" bestFit="1" customWidth="1"/>
    <col min="2313" max="2561" width="9.08984375" style="229"/>
    <col min="2562" max="2562" width="7.90625" style="229" customWidth="1"/>
    <col min="2563" max="2563" width="53.36328125" style="229" customWidth="1"/>
    <col min="2564" max="2564" width="25.453125" style="229" customWidth="1"/>
    <col min="2565" max="2565" width="28.36328125" style="229" customWidth="1"/>
    <col min="2566" max="2567" width="9.08984375" style="229"/>
    <col min="2568" max="2568" width="20.08984375" style="229" bestFit="1" customWidth="1"/>
    <col min="2569" max="2817" width="9.08984375" style="229"/>
    <col min="2818" max="2818" width="7.90625" style="229" customWidth="1"/>
    <col min="2819" max="2819" width="53.36328125" style="229" customWidth="1"/>
    <col min="2820" max="2820" width="25.453125" style="229" customWidth="1"/>
    <col min="2821" max="2821" width="28.36328125" style="229" customWidth="1"/>
    <col min="2822" max="2823" width="9.08984375" style="229"/>
    <col min="2824" max="2824" width="20.08984375" style="229" bestFit="1" customWidth="1"/>
    <col min="2825" max="3073" width="9.08984375" style="229"/>
    <col min="3074" max="3074" width="7.90625" style="229" customWidth="1"/>
    <col min="3075" max="3075" width="53.36328125" style="229" customWidth="1"/>
    <col min="3076" max="3076" width="25.453125" style="229" customWidth="1"/>
    <col min="3077" max="3077" width="28.36328125" style="229" customWidth="1"/>
    <col min="3078" max="3079" width="9.08984375" style="229"/>
    <col min="3080" max="3080" width="20.08984375" style="229" bestFit="1" customWidth="1"/>
    <col min="3081" max="3329" width="9.08984375" style="229"/>
    <col min="3330" max="3330" width="7.90625" style="229" customWidth="1"/>
    <col min="3331" max="3331" width="53.36328125" style="229" customWidth="1"/>
    <col min="3332" max="3332" width="25.453125" style="229" customWidth="1"/>
    <col min="3333" max="3333" width="28.36328125" style="229" customWidth="1"/>
    <col min="3334" max="3335" width="9.08984375" style="229"/>
    <col min="3336" max="3336" width="20.08984375" style="229" bestFit="1" customWidth="1"/>
    <col min="3337" max="3585" width="9.08984375" style="229"/>
    <col min="3586" max="3586" width="7.90625" style="229" customWidth="1"/>
    <col min="3587" max="3587" width="53.36328125" style="229" customWidth="1"/>
    <col min="3588" max="3588" width="25.453125" style="229" customWidth="1"/>
    <col min="3589" max="3589" width="28.36328125" style="229" customWidth="1"/>
    <col min="3590" max="3591" width="9.08984375" style="229"/>
    <col min="3592" max="3592" width="20.08984375" style="229" bestFit="1" customWidth="1"/>
    <col min="3593" max="3841" width="9.08984375" style="229"/>
    <col min="3842" max="3842" width="7.90625" style="229" customWidth="1"/>
    <col min="3843" max="3843" width="53.36328125" style="229" customWidth="1"/>
    <col min="3844" max="3844" width="25.453125" style="229" customWidth="1"/>
    <col min="3845" max="3845" width="28.36328125" style="229" customWidth="1"/>
    <col min="3846" max="3847" width="9.08984375" style="229"/>
    <col min="3848" max="3848" width="20.08984375" style="229" bestFit="1" customWidth="1"/>
    <col min="3849" max="4097" width="9.08984375" style="229"/>
    <col min="4098" max="4098" width="7.90625" style="229" customWidth="1"/>
    <col min="4099" max="4099" width="53.36328125" style="229" customWidth="1"/>
    <col min="4100" max="4100" width="25.453125" style="229" customWidth="1"/>
    <col min="4101" max="4101" width="28.36328125" style="229" customWidth="1"/>
    <col min="4102" max="4103" width="9.08984375" style="229"/>
    <col min="4104" max="4104" width="20.08984375" style="229" bestFit="1" customWidth="1"/>
    <col min="4105" max="4353" width="9.08984375" style="229"/>
    <col min="4354" max="4354" width="7.90625" style="229" customWidth="1"/>
    <col min="4355" max="4355" width="53.36328125" style="229" customWidth="1"/>
    <col min="4356" max="4356" width="25.453125" style="229" customWidth="1"/>
    <col min="4357" max="4357" width="28.36328125" style="229" customWidth="1"/>
    <col min="4358" max="4359" width="9.08984375" style="229"/>
    <col min="4360" max="4360" width="20.08984375" style="229" bestFit="1" customWidth="1"/>
    <col min="4361" max="4609" width="9.08984375" style="229"/>
    <col min="4610" max="4610" width="7.90625" style="229" customWidth="1"/>
    <col min="4611" max="4611" width="53.36328125" style="229" customWidth="1"/>
    <col min="4612" max="4612" width="25.453125" style="229" customWidth="1"/>
    <col min="4613" max="4613" width="28.36328125" style="229" customWidth="1"/>
    <col min="4614" max="4615" width="9.08984375" style="229"/>
    <col min="4616" max="4616" width="20.08984375" style="229" bestFit="1" customWidth="1"/>
    <col min="4617" max="4865" width="9.08984375" style="229"/>
    <col min="4866" max="4866" width="7.90625" style="229" customWidth="1"/>
    <col min="4867" max="4867" width="53.36328125" style="229" customWidth="1"/>
    <col min="4868" max="4868" width="25.453125" style="229" customWidth="1"/>
    <col min="4869" max="4869" width="28.36328125" style="229" customWidth="1"/>
    <col min="4870" max="4871" width="9.08984375" style="229"/>
    <col min="4872" max="4872" width="20.08984375" style="229" bestFit="1" customWidth="1"/>
    <col min="4873" max="5121" width="9.08984375" style="229"/>
    <col min="5122" max="5122" width="7.90625" style="229" customWidth="1"/>
    <col min="5123" max="5123" width="53.36328125" style="229" customWidth="1"/>
    <col min="5124" max="5124" width="25.453125" style="229" customWidth="1"/>
    <col min="5125" max="5125" width="28.36328125" style="229" customWidth="1"/>
    <col min="5126" max="5127" width="9.08984375" style="229"/>
    <col min="5128" max="5128" width="20.08984375" style="229" bestFit="1" customWidth="1"/>
    <col min="5129" max="5377" width="9.08984375" style="229"/>
    <col min="5378" max="5378" width="7.90625" style="229" customWidth="1"/>
    <col min="5379" max="5379" width="53.36328125" style="229" customWidth="1"/>
    <col min="5380" max="5380" width="25.453125" style="229" customWidth="1"/>
    <col min="5381" max="5381" width="28.36328125" style="229" customWidth="1"/>
    <col min="5382" max="5383" width="9.08984375" style="229"/>
    <col min="5384" max="5384" width="20.08984375" style="229" bestFit="1" customWidth="1"/>
    <col min="5385" max="5633" width="9.08984375" style="229"/>
    <col min="5634" max="5634" width="7.90625" style="229" customWidth="1"/>
    <col min="5635" max="5635" width="53.36328125" style="229" customWidth="1"/>
    <col min="5636" max="5636" width="25.453125" style="229" customWidth="1"/>
    <col min="5637" max="5637" width="28.36328125" style="229" customWidth="1"/>
    <col min="5638" max="5639" width="9.08984375" style="229"/>
    <col min="5640" max="5640" width="20.08984375" style="229" bestFit="1" customWidth="1"/>
    <col min="5641" max="5889" width="9.08984375" style="229"/>
    <col min="5890" max="5890" width="7.90625" style="229" customWidth="1"/>
    <col min="5891" max="5891" width="53.36328125" style="229" customWidth="1"/>
    <col min="5892" max="5892" width="25.453125" style="229" customWidth="1"/>
    <col min="5893" max="5893" width="28.36328125" style="229" customWidth="1"/>
    <col min="5894" max="5895" width="9.08984375" style="229"/>
    <col min="5896" max="5896" width="20.08984375" style="229" bestFit="1" customWidth="1"/>
    <col min="5897" max="6145" width="9.08984375" style="229"/>
    <col min="6146" max="6146" width="7.90625" style="229" customWidth="1"/>
    <col min="6147" max="6147" width="53.36328125" style="229" customWidth="1"/>
    <col min="6148" max="6148" width="25.453125" style="229" customWidth="1"/>
    <col min="6149" max="6149" width="28.36328125" style="229" customWidth="1"/>
    <col min="6150" max="6151" width="9.08984375" style="229"/>
    <col min="6152" max="6152" width="20.08984375" style="229" bestFit="1" customWidth="1"/>
    <col min="6153" max="6401" width="9.08984375" style="229"/>
    <col min="6402" max="6402" width="7.90625" style="229" customWidth="1"/>
    <col min="6403" max="6403" width="53.36328125" style="229" customWidth="1"/>
    <col min="6404" max="6404" width="25.453125" style="229" customWidth="1"/>
    <col min="6405" max="6405" width="28.36328125" style="229" customWidth="1"/>
    <col min="6406" max="6407" width="9.08984375" style="229"/>
    <col min="6408" max="6408" width="20.08984375" style="229" bestFit="1" customWidth="1"/>
    <col min="6409" max="6657" width="9.08984375" style="229"/>
    <col min="6658" max="6658" width="7.90625" style="229" customWidth="1"/>
    <col min="6659" max="6659" width="53.36328125" style="229" customWidth="1"/>
    <col min="6660" max="6660" width="25.453125" style="229" customWidth="1"/>
    <col min="6661" max="6661" width="28.36328125" style="229" customWidth="1"/>
    <col min="6662" max="6663" width="9.08984375" style="229"/>
    <col min="6664" max="6664" width="20.08984375" style="229" bestFit="1" customWidth="1"/>
    <col min="6665" max="6913" width="9.08984375" style="229"/>
    <col min="6914" max="6914" width="7.90625" style="229" customWidth="1"/>
    <col min="6915" max="6915" width="53.36328125" style="229" customWidth="1"/>
    <col min="6916" max="6916" width="25.453125" style="229" customWidth="1"/>
    <col min="6917" max="6917" width="28.36328125" style="229" customWidth="1"/>
    <col min="6918" max="6919" width="9.08984375" style="229"/>
    <col min="6920" max="6920" width="20.08984375" style="229" bestFit="1" customWidth="1"/>
    <col min="6921" max="7169" width="9.08984375" style="229"/>
    <col min="7170" max="7170" width="7.90625" style="229" customWidth="1"/>
    <col min="7171" max="7171" width="53.36328125" style="229" customWidth="1"/>
    <col min="7172" max="7172" width="25.453125" style="229" customWidth="1"/>
    <col min="7173" max="7173" width="28.36328125" style="229" customWidth="1"/>
    <col min="7174" max="7175" width="9.08984375" style="229"/>
    <col min="7176" max="7176" width="20.08984375" style="229" bestFit="1" customWidth="1"/>
    <col min="7177" max="7425" width="9.08984375" style="229"/>
    <col min="7426" max="7426" width="7.90625" style="229" customWidth="1"/>
    <col min="7427" max="7427" width="53.36328125" style="229" customWidth="1"/>
    <col min="7428" max="7428" width="25.453125" style="229" customWidth="1"/>
    <col min="7429" max="7429" width="28.36328125" style="229" customWidth="1"/>
    <col min="7430" max="7431" width="9.08984375" style="229"/>
    <col min="7432" max="7432" width="20.08984375" style="229" bestFit="1" customWidth="1"/>
    <col min="7433" max="7681" width="9.08984375" style="229"/>
    <col min="7682" max="7682" width="7.90625" style="229" customWidth="1"/>
    <col min="7683" max="7683" width="53.36328125" style="229" customWidth="1"/>
    <col min="7684" max="7684" width="25.453125" style="229" customWidth="1"/>
    <col min="7685" max="7685" width="28.36328125" style="229" customWidth="1"/>
    <col min="7686" max="7687" width="9.08984375" style="229"/>
    <col min="7688" max="7688" width="20.08984375" style="229" bestFit="1" customWidth="1"/>
    <col min="7689" max="7937" width="9.08984375" style="229"/>
    <col min="7938" max="7938" width="7.90625" style="229" customWidth="1"/>
    <col min="7939" max="7939" width="53.36328125" style="229" customWidth="1"/>
    <col min="7940" max="7940" width="25.453125" style="229" customWidth="1"/>
    <col min="7941" max="7941" width="28.36328125" style="229" customWidth="1"/>
    <col min="7942" max="7943" width="9.08984375" style="229"/>
    <col min="7944" max="7944" width="20.08984375" style="229" bestFit="1" customWidth="1"/>
    <col min="7945" max="8193" width="9.08984375" style="229"/>
    <col min="8194" max="8194" width="7.90625" style="229" customWidth="1"/>
    <col min="8195" max="8195" width="53.36328125" style="229" customWidth="1"/>
    <col min="8196" max="8196" width="25.453125" style="229" customWidth="1"/>
    <col min="8197" max="8197" width="28.36328125" style="229" customWidth="1"/>
    <col min="8198" max="8199" width="9.08984375" style="229"/>
    <col min="8200" max="8200" width="20.08984375" style="229" bestFit="1" customWidth="1"/>
    <col min="8201" max="8449" width="9.08984375" style="229"/>
    <col min="8450" max="8450" width="7.90625" style="229" customWidth="1"/>
    <col min="8451" max="8451" width="53.36328125" style="229" customWidth="1"/>
    <col min="8452" max="8452" width="25.453125" style="229" customWidth="1"/>
    <col min="8453" max="8453" width="28.36328125" style="229" customWidth="1"/>
    <col min="8454" max="8455" width="9.08984375" style="229"/>
    <col min="8456" max="8456" width="20.08984375" style="229" bestFit="1" customWidth="1"/>
    <col min="8457" max="8705" width="9.08984375" style="229"/>
    <col min="8706" max="8706" width="7.90625" style="229" customWidth="1"/>
    <col min="8707" max="8707" width="53.36328125" style="229" customWidth="1"/>
    <col min="8708" max="8708" width="25.453125" style="229" customWidth="1"/>
    <col min="8709" max="8709" width="28.36328125" style="229" customWidth="1"/>
    <col min="8710" max="8711" width="9.08984375" style="229"/>
    <col min="8712" max="8712" width="20.08984375" style="229" bestFit="1" customWidth="1"/>
    <col min="8713" max="8961" width="9.08984375" style="229"/>
    <col min="8962" max="8962" width="7.90625" style="229" customWidth="1"/>
    <col min="8963" max="8963" width="53.36328125" style="229" customWidth="1"/>
    <col min="8964" max="8964" width="25.453125" style="229" customWidth="1"/>
    <col min="8965" max="8965" width="28.36328125" style="229" customWidth="1"/>
    <col min="8966" max="8967" width="9.08984375" style="229"/>
    <col min="8968" max="8968" width="20.08984375" style="229" bestFit="1" customWidth="1"/>
    <col min="8969" max="9217" width="9.08984375" style="229"/>
    <col min="9218" max="9218" width="7.90625" style="229" customWidth="1"/>
    <col min="9219" max="9219" width="53.36328125" style="229" customWidth="1"/>
    <col min="9220" max="9220" width="25.453125" style="229" customWidth="1"/>
    <col min="9221" max="9221" width="28.36328125" style="229" customWidth="1"/>
    <col min="9222" max="9223" width="9.08984375" style="229"/>
    <col min="9224" max="9224" width="20.08984375" style="229" bestFit="1" customWidth="1"/>
    <col min="9225" max="9473" width="9.08984375" style="229"/>
    <col min="9474" max="9474" width="7.90625" style="229" customWidth="1"/>
    <col min="9475" max="9475" width="53.36328125" style="229" customWidth="1"/>
    <col min="9476" max="9476" width="25.453125" style="229" customWidth="1"/>
    <col min="9477" max="9477" width="28.36328125" style="229" customWidth="1"/>
    <col min="9478" max="9479" width="9.08984375" style="229"/>
    <col min="9480" max="9480" width="20.08984375" style="229" bestFit="1" customWidth="1"/>
    <col min="9481" max="9729" width="9.08984375" style="229"/>
    <col min="9730" max="9730" width="7.90625" style="229" customWidth="1"/>
    <col min="9731" max="9731" width="53.36328125" style="229" customWidth="1"/>
    <col min="9732" max="9732" width="25.453125" style="229" customWidth="1"/>
    <col min="9733" max="9733" width="28.36328125" style="229" customWidth="1"/>
    <col min="9734" max="9735" width="9.08984375" style="229"/>
    <col min="9736" max="9736" width="20.08984375" style="229" bestFit="1" customWidth="1"/>
    <col min="9737" max="9985" width="9.08984375" style="229"/>
    <col min="9986" max="9986" width="7.90625" style="229" customWidth="1"/>
    <col min="9987" max="9987" width="53.36328125" style="229" customWidth="1"/>
    <col min="9988" max="9988" width="25.453125" style="229" customWidth="1"/>
    <col min="9989" max="9989" width="28.36328125" style="229" customWidth="1"/>
    <col min="9990" max="9991" width="9.08984375" style="229"/>
    <col min="9992" max="9992" width="20.08984375" style="229" bestFit="1" customWidth="1"/>
    <col min="9993" max="10241" width="9.08984375" style="229"/>
    <col min="10242" max="10242" width="7.90625" style="229" customWidth="1"/>
    <col min="10243" max="10243" width="53.36328125" style="229" customWidth="1"/>
    <col min="10244" max="10244" width="25.453125" style="229" customWidth="1"/>
    <col min="10245" max="10245" width="28.36328125" style="229" customWidth="1"/>
    <col min="10246" max="10247" width="9.08984375" style="229"/>
    <col min="10248" max="10248" width="20.08984375" style="229" bestFit="1" customWidth="1"/>
    <col min="10249" max="10497" width="9.08984375" style="229"/>
    <col min="10498" max="10498" width="7.90625" style="229" customWidth="1"/>
    <col min="10499" max="10499" width="53.36328125" style="229" customWidth="1"/>
    <col min="10500" max="10500" width="25.453125" style="229" customWidth="1"/>
    <col min="10501" max="10501" width="28.36328125" style="229" customWidth="1"/>
    <col min="10502" max="10503" width="9.08984375" style="229"/>
    <col min="10504" max="10504" width="20.08984375" style="229" bestFit="1" customWidth="1"/>
    <col min="10505" max="10753" width="9.08984375" style="229"/>
    <col min="10754" max="10754" width="7.90625" style="229" customWidth="1"/>
    <col min="10755" max="10755" width="53.36328125" style="229" customWidth="1"/>
    <col min="10756" max="10756" width="25.453125" style="229" customWidth="1"/>
    <col min="10757" max="10757" width="28.36328125" style="229" customWidth="1"/>
    <col min="10758" max="10759" width="9.08984375" style="229"/>
    <col min="10760" max="10760" width="20.08984375" style="229" bestFit="1" customWidth="1"/>
    <col min="10761" max="11009" width="9.08984375" style="229"/>
    <col min="11010" max="11010" width="7.90625" style="229" customWidth="1"/>
    <col min="11011" max="11011" width="53.36328125" style="229" customWidth="1"/>
    <col min="11012" max="11012" width="25.453125" style="229" customWidth="1"/>
    <col min="11013" max="11013" width="28.36328125" style="229" customWidth="1"/>
    <col min="11014" max="11015" width="9.08984375" style="229"/>
    <col min="11016" max="11016" width="20.08984375" style="229" bestFit="1" customWidth="1"/>
    <col min="11017" max="11265" width="9.08984375" style="229"/>
    <col min="11266" max="11266" width="7.90625" style="229" customWidth="1"/>
    <col min="11267" max="11267" width="53.36328125" style="229" customWidth="1"/>
    <col min="11268" max="11268" width="25.453125" style="229" customWidth="1"/>
    <col min="11269" max="11269" width="28.36328125" style="229" customWidth="1"/>
    <col min="11270" max="11271" width="9.08984375" style="229"/>
    <col min="11272" max="11272" width="20.08984375" style="229" bestFit="1" customWidth="1"/>
    <col min="11273" max="11521" width="9.08984375" style="229"/>
    <col min="11522" max="11522" width="7.90625" style="229" customWidth="1"/>
    <col min="11523" max="11523" width="53.36328125" style="229" customWidth="1"/>
    <col min="11524" max="11524" width="25.453125" style="229" customWidth="1"/>
    <col min="11525" max="11525" width="28.36328125" style="229" customWidth="1"/>
    <col min="11526" max="11527" width="9.08984375" style="229"/>
    <col min="11528" max="11528" width="20.08984375" style="229" bestFit="1" customWidth="1"/>
    <col min="11529" max="11777" width="9.08984375" style="229"/>
    <col min="11778" max="11778" width="7.90625" style="229" customWidth="1"/>
    <col min="11779" max="11779" width="53.36328125" style="229" customWidth="1"/>
    <col min="11780" max="11780" width="25.453125" style="229" customWidth="1"/>
    <col min="11781" max="11781" width="28.36328125" style="229" customWidth="1"/>
    <col min="11782" max="11783" width="9.08984375" style="229"/>
    <col min="11784" max="11784" width="20.08984375" style="229" bestFit="1" customWidth="1"/>
    <col min="11785" max="12033" width="9.08984375" style="229"/>
    <col min="12034" max="12034" width="7.90625" style="229" customWidth="1"/>
    <col min="12035" max="12035" width="53.36328125" style="229" customWidth="1"/>
    <col min="12036" max="12036" width="25.453125" style="229" customWidth="1"/>
    <col min="12037" max="12037" width="28.36328125" style="229" customWidth="1"/>
    <col min="12038" max="12039" width="9.08984375" style="229"/>
    <col min="12040" max="12040" width="20.08984375" style="229" bestFit="1" customWidth="1"/>
    <col min="12041" max="12289" width="9.08984375" style="229"/>
    <col min="12290" max="12290" width="7.90625" style="229" customWidth="1"/>
    <col min="12291" max="12291" width="53.36328125" style="229" customWidth="1"/>
    <col min="12292" max="12292" width="25.453125" style="229" customWidth="1"/>
    <col min="12293" max="12293" width="28.36328125" style="229" customWidth="1"/>
    <col min="12294" max="12295" width="9.08984375" style="229"/>
    <col min="12296" max="12296" width="20.08984375" style="229" bestFit="1" customWidth="1"/>
    <col min="12297" max="12545" width="9.08984375" style="229"/>
    <col min="12546" max="12546" width="7.90625" style="229" customWidth="1"/>
    <col min="12547" max="12547" width="53.36328125" style="229" customWidth="1"/>
    <col min="12548" max="12548" width="25.453125" style="229" customWidth="1"/>
    <col min="12549" max="12549" width="28.36328125" style="229" customWidth="1"/>
    <col min="12550" max="12551" width="9.08984375" style="229"/>
    <col min="12552" max="12552" width="20.08984375" style="229" bestFit="1" customWidth="1"/>
    <col min="12553" max="12801" width="9.08984375" style="229"/>
    <col min="12802" max="12802" width="7.90625" style="229" customWidth="1"/>
    <col min="12803" max="12803" width="53.36328125" style="229" customWidth="1"/>
    <col min="12804" max="12804" width="25.453125" style="229" customWidth="1"/>
    <col min="12805" max="12805" width="28.36328125" style="229" customWidth="1"/>
    <col min="12806" max="12807" width="9.08984375" style="229"/>
    <col min="12808" max="12808" width="20.08984375" style="229" bestFit="1" customWidth="1"/>
    <col min="12809" max="13057" width="9.08984375" style="229"/>
    <col min="13058" max="13058" width="7.90625" style="229" customWidth="1"/>
    <col min="13059" max="13059" width="53.36328125" style="229" customWidth="1"/>
    <col min="13060" max="13060" width="25.453125" style="229" customWidth="1"/>
    <col min="13061" max="13061" width="28.36328125" style="229" customWidth="1"/>
    <col min="13062" max="13063" width="9.08984375" style="229"/>
    <col min="13064" max="13064" width="20.08984375" style="229" bestFit="1" customWidth="1"/>
    <col min="13065" max="13313" width="9.08984375" style="229"/>
    <col min="13314" max="13314" width="7.90625" style="229" customWidth="1"/>
    <col min="13315" max="13315" width="53.36328125" style="229" customWidth="1"/>
    <col min="13316" max="13316" width="25.453125" style="229" customWidth="1"/>
    <col min="13317" max="13317" width="28.36328125" style="229" customWidth="1"/>
    <col min="13318" max="13319" width="9.08984375" style="229"/>
    <col min="13320" max="13320" width="20.08984375" style="229" bestFit="1" customWidth="1"/>
    <col min="13321" max="13569" width="9.08984375" style="229"/>
    <col min="13570" max="13570" width="7.90625" style="229" customWidth="1"/>
    <col min="13571" max="13571" width="53.36328125" style="229" customWidth="1"/>
    <col min="13572" max="13572" width="25.453125" style="229" customWidth="1"/>
    <col min="13573" max="13573" width="28.36328125" style="229" customWidth="1"/>
    <col min="13574" max="13575" width="9.08984375" style="229"/>
    <col min="13576" max="13576" width="20.08984375" style="229" bestFit="1" customWidth="1"/>
    <col min="13577" max="13825" width="9.08984375" style="229"/>
    <col min="13826" max="13826" width="7.90625" style="229" customWidth="1"/>
    <col min="13827" max="13827" width="53.36328125" style="229" customWidth="1"/>
    <col min="13828" max="13828" width="25.453125" style="229" customWidth="1"/>
    <col min="13829" max="13829" width="28.36328125" style="229" customWidth="1"/>
    <col min="13830" max="13831" width="9.08984375" style="229"/>
    <col min="13832" max="13832" width="20.08984375" style="229" bestFit="1" customWidth="1"/>
    <col min="13833" max="14081" width="9.08984375" style="229"/>
    <col min="14082" max="14082" width="7.90625" style="229" customWidth="1"/>
    <col min="14083" max="14083" width="53.36328125" style="229" customWidth="1"/>
    <col min="14084" max="14084" width="25.453125" style="229" customWidth="1"/>
    <col min="14085" max="14085" width="28.36328125" style="229" customWidth="1"/>
    <col min="14086" max="14087" width="9.08984375" style="229"/>
    <col min="14088" max="14088" width="20.08984375" style="229" bestFit="1" customWidth="1"/>
    <col min="14089" max="14337" width="9.08984375" style="229"/>
    <col min="14338" max="14338" width="7.90625" style="229" customWidth="1"/>
    <col min="14339" max="14339" width="53.36328125" style="229" customWidth="1"/>
    <col min="14340" max="14340" width="25.453125" style="229" customWidth="1"/>
    <col min="14341" max="14341" width="28.36328125" style="229" customWidth="1"/>
    <col min="14342" max="14343" width="9.08984375" style="229"/>
    <col min="14344" max="14344" width="20.08984375" style="229" bestFit="1" customWidth="1"/>
    <col min="14345" max="14593" width="9.08984375" style="229"/>
    <col min="14594" max="14594" width="7.90625" style="229" customWidth="1"/>
    <col min="14595" max="14595" width="53.36328125" style="229" customWidth="1"/>
    <col min="14596" max="14596" width="25.453125" style="229" customWidth="1"/>
    <col min="14597" max="14597" width="28.36328125" style="229" customWidth="1"/>
    <col min="14598" max="14599" width="9.08984375" style="229"/>
    <col min="14600" max="14600" width="20.08984375" style="229" bestFit="1" customWidth="1"/>
    <col min="14601" max="14849" width="9.08984375" style="229"/>
    <col min="14850" max="14850" width="7.90625" style="229" customWidth="1"/>
    <col min="14851" max="14851" width="53.36328125" style="229" customWidth="1"/>
    <col min="14852" max="14852" width="25.453125" style="229" customWidth="1"/>
    <col min="14853" max="14853" width="28.36328125" style="229" customWidth="1"/>
    <col min="14854" max="14855" width="9.08984375" style="229"/>
    <col min="14856" max="14856" width="20.08984375" style="229" bestFit="1" customWidth="1"/>
    <col min="14857" max="15105" width="9.08984375" style="229"/>
    <col min="15106" max="15106" width="7.90625" style="229" customWidth="1"/>
    <col min="15107" max="15107" width="53.36328125" style="229" customWidth="1"/>
    <col min="15108" max="15108" width="25.453125" style="229" customWidth="1"/>
    <col min="15109" max="15109" width="28.36328125" style="229" customWidth="1"/>
    <col min="15110" max="15111" width="9.08984375" style="229"/>
    <col min="15112" max="15112" width="20.08984375" style="229" bestFit="1" customWidth="1"/>
    <col min="15113" max="15361" width="9.08984375" style="229"/>
    <col min="15362" max="15362" width="7.90625" style="229" customWidth="1"/>
    <col min="15363" max="15363" width="53.36328125" style="229" customWidth="1"/>
    <col min="15364" max="15364" width="25.453125" style="229" customWidth="1"/>
    <col min="15365" max="15365" width="28.36328125" style="229" customWidth="1"/>
    <col min="15366" max="15367" width="9.08984375" style="229"/>
    <col min="15368" max="15368" width="20.08984375" style="229" bestFit="1" customWidth="1"/>
    <col min="15369" max="15617" width="9.08984375" style="229"/>
    <col min="15618" max="15618" width="7.90625" style="229" customWidth="1"/>
    <col min="15619" max="15619" width="53.36328125" style="229" customWidth="1"/>
    <col min="15620" max="15620" width="25.453125" style="229" customWidth="1"/>
    <col min="15621" max="15621" width="28.36328125" style="229" customWidth="1"/>
    <col min="15622" max="15623" width="9.08984375" style="229"/>
    <col min="15624" max="15624" width="20.08984375" style="229" bestFit="1" customWidth="1"/>
    <col min="15625" max="15873" width="9.08984375" style="229"/>
    <col min="15874" max="15874" width="7.90625" style="229" customWidth="1"/>
    <col min="15875" max="15875" width="53.36328125" style="229" customWidth="1"/>
    <col min="15876" max="15876" width="25.453125" style="229" customWidth="1"/>
    <col min="15877" max="15877" width="28.36328125" style="229" customWidth="1"/>
    <col min="15878" max="15879" width="9.08984375" style="229"/>
    <col min="15880" max="15880" width="20.08984375" style="229" bestFit="1" customWidth="1"/>
    <col min="15881" max="16129" width="9.08984375" style="229"/>
    <col min="16130" max="16130" width="7.90625" style="229" customWidth="1"/>
    <col min="16131" max="16131" width="53.36328125" style="229" customWidth="1"/>
    <col min="16132" max="16132" width="25.453125" style="229" customWidth="1"/>
    <col min="16133" max="16133" width="28.36328125" style="229" customWidth="1"/>
    <col min="16134" max="16135" width="9.08984375" style="229"/>
    <col min="16136" max="16136" width="20.08984375" style="229" bestFit="1" customWidth="1"/>
    <col min="16137" max="16384" width="9.08984375" style="229"/>
  </cols>
  <sheetData>
    <row r="1" spans="1:8" ht="15" customHeight="1" x14ac:dyDescent="0.35">
      <c r="A1" s="711" t="s">
        <v>0</v>
      </c>
      <c r="B1" s="711"/>
      <c r="E1" s="38" t="s">
        <v>451</v>
      </c>
    </row>
    <row r="2" spans="1:8" x14ac:dyDescent="0.35">
      <c r="A2" s="712" t="s">
        <v>450</v>
      </c>
      <c r="B2" s="712"/>
      <c r="C2" s="265"/>
      <c r="D2" s="265"/>
      <c r="E2" s="265"/>
    </row>
    <row r="3" spans="1:8" ht="53.25" customHeight="1" x14ac:dyDescent="0.35">
      <c r="A3" s="713" t="s">
        <v>449</v>
      </c>
      <c r="B3" s="713"/>
      <c r="C3" s="713"/>
      <c r="D3" s="713"/>
      <c r="E3" s="713"/>
    </row>
    <row r="4" spans="1:8" x14ac:dyDescent="0.35">
      <c r="A4" s="38"/>
      <c r="B4" s="10"/>
      <c r="C4" s="10"/>
      <c r="D4" s="10"/>
      <c r="E4" s="264" t="s">
        <v>1</v>
      </c>
    </row>
    <row r="5" spans="1:8" ht="35.25" customHeight="1" x14ac:dyDescent="0.35">
      <c r="A5" s="55" t="s">
        <v>2</v>
      </c>
      <c r="B5" s="263" t="s">
        <v>68</v>
      </c>
      <c r="C5" s="262" t="s">
        <v>448</v>
      </c>
      <c r="D5" s="262"/>
      <c r="E5" s="55" t="s">
        <v>22</v>
      </c>
    </row>
    <row r="6" spans="1:8" ht="21.75" customHeight="1" x14ac:dyDescent="0.35">
      <c r="A6" s="260">
        <v>1</v>
      </c>
      <c r="B6" s="261">
        <v>2</v>
      </c>
      <c r="C6" s="260">
        <v>3</v>
      </c>
      <c r="D6" s="260"/>
      <c r="E6" s="260">
        <v>4</v>
      </c>
    </row>
    <row r="7" spans="1:8" ht="24.75" customHeight="1" x14ac:dyDescent="0.35">
      <c r="A7" s="14" t="s">
        <v>8</v>
      </c>
      <c r="B7" s="235" t="s">
        <v>447</v>
      </c>
      <c r="C7" s="233">
        <f>SUM(C8:C17)</f>
        <v>72628745520</v>
      </c>
      <c r="D7" s="233">
        <f t="shared" ref="D7:D38" si="0">C7/1000000</f>
        <v>72628.745519999997</v>
      </c>
      <c r="E7" s="150"/>
    </row>
    <row r="8" spans="1:8" ht="29.25" customHeight="1" x14ac:dyDescent="0.35">
      <c r="A8" s="240">
        <v>1</v>
      </c>
      <c r="B8" s="242" t="s">
        <v>446</v>
      </c>
      <c r="C8" s="241">
        <f>(1715.31+199.14-34.31+7.98-52.05-62.28)*1800000*12</f>
        <v>38313864000</v>
      </c>
      <c r="D8" s="233">
        <f t="shared" si="0"/>
        <v>38313.864000000001</v>
      </c>
      <c r="E8" s="249">
        <f>1535.89-25.602-69.97+70.34+12.71</f>
        <v>1523.3679999999999</v>
      </c>
    </row>
    <row r="9" spans="1:8" ht="29.25" customHeight="1" x14ac:dyDescent="0.35">
      <c r="A9" s="253" t="s">
        <v>431</v>
      </c>
      <c r="B9" s="252" t="s">
        <v>445</v>
      </c>
      <c r="C9" s="238">
        <f>32.3*1800000*12</f>
        <v>697679999.99999988</v>
      </c>
      <c r="D9" s="233">
        <f t="shared" si="0"/>
        <v>697.67999999999984</v>
      </c>
      <c r="E9" s="247">
        <f>29+0.45</f>
        <v>29.45</v>
      </c>
    </row>
    <row r="10" spans="1:8" ht="29.25" customHeight="1" x14ac:dyDescent="0.35">
      <c r="A10" s="239" t="s">
        <v>431</v>
      </c>
      <c r="B10" s="252" t="s">
        <v>444</v>
      </c>
      <c r="C10" s="238">
        <f>1.4*1800000*12</f>
        <v>30240000</v>
      </c>
      <c r="D10" s="233">
        <f t="shared" si="0"/>
        <v>30.24</v>
      </c>
      <c r="E10" s="254"/>
    </row>
    <row r="11" spans="1:8" ht="29.25" customHeight="1" x14ac:dyDescent="0.35">
      <c r="A11" s="253" t="s">
        <v>431</v>
      </c>
      <c r="B11" s="252" t="s">
        <v>443</v>
      </c>
      <c r="C11" s="238">
        <f>323.23*1800000*12</f>
        <v>6981768000</v>
      </c>
      <c r="D11" s="233">
        <f t="shared" si="0"/>
        <v>6981.768</v>
      </c>
      <c r="E11" s="254"/>
    </row>
    <row r="12" spans="1:8" ht="29.25" customHeight="1" x14ac:dyDescent="0.35">
      <c r="A12" s="253" t="s">
        <v>431</v>
      </c>
      <c r="B12" s="252" t="s">
        <v>442</v>
      </c>
      <c r="C12" s="238">
        <f>197.2*1800000*12</f>
        <v>4259520000</v>
      </c>
      <c r="D12" s="233">
        <f t="shared" si="0"/>
        <v>4259.5200000000004</v>
      </c>
      <c r="E12" s="254"/>
    </row>
    <row r="13" spans="1:8" ht="29.25" customHeight="1" x14ac:dyDescent="0.35">
      <c r="A13" s="239">
        <v>2</v>
      </c>
      <c r="B13" s="237" t="s">
        <v>441</v>
      </c>
      <c r="C13" s="238">
        <f>52.05*1800000*12</f>
        <v>1124280000</v>
      </c>
      <c r="D13" s="233">
        <f t="shared" si="0"/>
        <v>1124.28</v>
      </c>
      <c r="E13" s="254"/>
      <c r="H13" s="266">
        <f>D8+D13+D14+D15</f>
        <v>49903.392</v>
      </c>
    </row>
    <row r="14" spans="1:8" ht="29.25" customHeight="1" x14ac:dyDescent="0.35">
      <c r="A14" s="239">
        <v>3</v>
      </c>
      <c r="B14" s="237" t="s">
        <v>440</v>
      </c>
      <c r="C14" s="238">
        <f>62.28*1800000*12</f>
        <v>1345248000</v>
      </c>
      <c r="D14" s="233">
        <f t="shared" si="0"/>
        <v>1345.248</v>
      </c>
      <c r="E14" s="254"/>
      <c r="H14" s="266"/>
    </row>
    <row r="15" spans="1:8" ht="29.25" customHeight="1" x14ac:dyDescent="0.35">
      <c r="A15" s="239">
        <v>4</v>
      </c>
      <c r="B15" s="237" t="s">
        <v>439</v>
      </c>
      <c r="C15" s="238">
        <f>(460000000+40000000+180000000)*12+600000000+360000000</f>
        <v>9120000000</v>
      </c>
      <c r="D15" s="233">
        <f t="shared" si="0"/>
        <v>9120</v>
      </c>
      <c r="E15" s="259"/>
    </row>
    <row r="16" spans="1:8" ht="29.25" customHeight="1" x14ac:dyDescent="0.35">
      <c r="A16" s="258">
        <v>5</v>
      </c>
      <c r="B16" s="257" t="s">
        <v>438</v>
      </c>
      <c r="C16" s="177"/>
      <c r="D16" s="233">
        <f t="shared" si="0"/>
        <v>0</v>
      </c>
      <c r="E16" s="256"/>
    </row>
    <row r="17" spans="1:7" ht="29.25" customHeight="1" x14ac:dyDescent="0.35">
      <c r="A17" s="246">
        <v>6</v>
      </c>
      <c r="B17" s="243" t="s">
        <v>437</v>
      </c>
      <c r="C17" s="244">
        <f>(C8+C9+C10+C12+C13+C14)*23.5%</f>
        <v>10756145520</v>
      </c>
      <c r="D17" s="233">
        <f t="shared" si="0"/>
        <v>10756.14552</v>
      </c>
      <c r="E17" s="251"/>
    </row>
    <row r="18" spans="1:7" ht="29.25" customHeight="1" x14ac:dyDescent="0.35">
      <c r="A18" s="14" t="s">
        <v>81</v>
      </c>
      <c r="B18" s="235" t="s">
        <v>436</v>
      </c>
      <c r="C18" s="233">
        <f>C19+C20+C21+C24+C25</f>
        <v>77785354080</v>
      </c>
      <c r="D18" s="233">
        <f t="shared" si="0"/>
        <v>77785.354080000005</v>
      </c>
      <c r="E18" s="250"/>
      <c r="G18" s="266">
        <f>D18-D23</f>
        <v>68148.034080000012</v>
      </c>
    </row>
    <row r="19" spans="1:7" ht="29.25" customHeight="1" x14ac:dyDescent="0.35">
      <c r="A19" s="240">
        <v>1</v>
      </c>
      <c r="B19" s="255" t="s">
        <v>435</v>
      </c>
      <c r="C19" s="241">
        <f>3500000000*12</f>
        <v>42000000000</v>
      </c>
      <c r="D19" s="233">
        <f t="shared" si="0"/>
        <v>42000</v>
      </c>
      <c r="E19" s="249"/>
    </row>
    <row r="20" spans="1:7" ht="29.25" customHeight="1" x14ac:dyDescent="0.35">
      <c r="A20" s="239">
        <v>2</v>
      </c>
      <c r="B20" s="252" t="s">
        <v>434</v>
      </c>
      <c r="C20" s="238">
        <f>((4375000*4)+(5250000*22)+(7000000*20)+(10500000*25)+(14000000*3)+(21000*2))*12</f>
        <v>6930504000</v>
      </c>
      <c r="D20" s="233">
        <f t="shared" si="0"/>
        <v>6930.5039999999999</v>
      </c>
      <c r="E20" s="254"/>
    </row>
    <row r="21" spans="1:7" ht="29.25" customHeight="1" x14ac:dyDescent="0.35">
      <c r="A21" s="239">
        <v>3</v>
      </c>
      <c r="B21" s="252" t="s">
        <v>433</v>
      </c>
      <c r="C21" s="238">
        <f>C22+C23</f>
        <v>17522400000</v>
      </c>
      <c r="D21" s="233">
        <f t="shared" si="0"/>
        <v>17522.400000000001</v>
      </c>
      <c r="E21" s="247"/>
    </row>
    <row r="22" spans="1:7" ht="29.25" customHeight="1" x14ac:dyDescent="0.35">
      <c r="A22" s="253" t="s">
        <v>431</v>
      </c>
      <c r="B22" s="252" t="s">
        <v>432</v>
      </c>
      <c r="C22" s="238">
        <v>7885080000</v>
      </c>
      <c r="D22" s="233">
        <f t="shared" si="0"/>
        <v>7885.08</v>
      </c>
      <c r="E22" s="247"/>
    </row>
    <row r="23" spans="1:7" ht="29.25" customHeight="1" x14ac:dyDescent="0.35">
      <c r="A23" s="253" t="s">
        <v>431</v>
      </c>
      <c r="B23" s="252" t="s">
        <v>430</v>
      </c>
      <c r="C23" s="238">
        <v>9637320000</v>
      </c>
      <c r="D23" s="233">
        <f t="shared" si="0"/>
        <v>9637.32</v>
      </c>
      <c r="E23" s="237" t="s">
        <v>429</v>
      </c>
    </row>
    <row r="24" spans="1:7" ht="29.25" customHeight="1" x14ac:dyDescent="0.35">
      <c r="A24" s="239">
        <v>2</v>
      </c>
      <c r="B24" s="252" t="s">
        <v>428</v>
      </c>
      <c r="C24" s="238">
        <f>((74.13+(199.14*17%))*1800000*12)</f>
        <v>2332450080</v>
      </c>
      <c r="D24" s="233">
        <f t="shared" si="0"/>
        <v>2332.4500800000001</v>
      </c>
      <c r="E24" s="247">
        <f>62.2+2.161</f>
        <v>64.361000000000004</v>
      </c>
    </row>
    <row r="25" spans="1:7" ht="29.25" customHeight="1" x14ac:dyDescent="0.35">
      <c r="A25" s="246">
        <v>3</v>
      </c>
      <c r="B25" s="243" t="s">
        <v>427</v>
      </c>
      <c r="C25" s="244">
        <v>9000000000</v>
      </c>
      <c r="D25" s="233">
        <f t="shared" si="0"/>
        <v>9000</v>
      </c>
      <c r="E25" s="251"/>
    </row>
    <row r="26" spans="1:7" ht="29.25" customHeight="1" x14ac:dyDescent="0.35">
      <c r="A26" s="14" t="s">
        <v>117</v>
      </c>
      <c r="B26" s="235" t="s">
        <v>426</v>
      </c>
      <c r="C26" s="233">
        <f>SUM(C27:C30)</f>
        <v>8556000000</v>
      </c>
      <c r="D26" s="233">
        <f t="shared" si="0"/>
        <v>8556</v>
      </c>
      <c r="E26" s="250"/>
    </row>
    <row r="27" spans="1:7" ht="29.25" customHeight="1" x14ac:dyDescent="0.35">
      <c r="A27" s="240">
        <v>1</v>
      </c>
      <c r="B27" s="242" t="s">
        <v>425</v>
      </c>
      <c r="C27" s="241">
        <f>730000*12*600</f>
        <v>5256000000</v>
      </c>
      <c r="D27" s="233">
        <f t="shared" si="0"/>
        <v>5256</v>
      </c>
      <c r="E27" s="249"/>
    </row>
    <row r="28" spans="1:7" ht="29.25" customHeight="1" x14ac:dyDescent="0.35">
      <c r="A28" s="239">
        <v>2</v>
      </c>
      <c r="B28" s="237" t="s">
        <v>424</v>
      </c>
      <c r="C28" s="238">
        <f>5000000*600</f>
        <v>3000000000</v>
      </c>
      <c r="D28" s="233">
        <f t="shared" si="0"/>
        <v>3000</v>
      </c>
      <c r="E28" s="247"/>
    </row>
    <row r="29" spans="1:7" ht="38.25" customHeight="1" x14ac:dyDescent="0.35">
      <c r="A29" s="239">
        <v>4</v>
      </c>
      <c r="B29" s="248" t="s">
        <v>423</v>
      </c>
      <c r="C29" s="238">
        <v>200000000</v>
      </c>
      <c r="D29" s="233">
        <f t="shared" si="0"/>
        <v>200</v>
      </c>
      <c r="E29" s="247"/>
    </row>
    <row r="30" spans="1:7" ht="29.25" customHeight="1" x14ac:dyDescent="0.35">
      <c r="A30" s="246">
        <v>5</v>
      </c>
      <c r="B30" s="245" t="s">
        <v>422</v>
      </c>
      <c r="C30" s="244">
        <v>100000000</v>
      </c>
      <c r="D30" s="233">
        <f t="shared" si="0"/>
        <v>100</v>
      </c>
      <c r="E30" s="243"/>
    </row>
    <row r="31" spans="1:7" ht="29.25" customHeight="1" x14ac:dyDescent="0.35">
      <c r="A31" s="14" t="s">
        <v>391</v>
      </c>
      <c r="B31" s="235" t="s">
        <v>421</v>
      </c>
      <c r="C31" s="233">
        <f>SUM(C32:C34)</f>
        <v>19350000000</v>
      </c>
      <c r="D31" s="233">
        <f t="shared" si="0"/>
        <v>19350</v>
      </c>
      <c r="E31" s="150"/>
    </row>
    <row r="32" spans="1:7" ht="29.25" customHeight="1" x14ac:dyDescent="0.35">
      <c r="A32" s="240">
        <v>1</v>
      </c>
      <c r="B32" s="242" t="s">
        <v>420</v>
      </c>
      <c r="C32" s="241">
        <f>30000000*550</f>
        <v>16500000000</v>
      </c>
      <c r="D32" s="233">
        <f t="shared" si="0"/>
        <v>16500</v>
      </c>
      <c r="E32" s="240"/>
    </row>
    <row r="33" spans="1:5" ht="29.25" customHeight="1" x14ac:dyDescent="0.35">
      <c r="A33" s="239">
        <v>2</v>
      </c>
      <c r="B33" s="237" t="s">
        <v>419</v>
      </c>
      <c r="C33" s="238">
        <v>100000000</v>
      </c>
      <c r="D33" s="233">
        <f t="shared" si="0"/>
        <v>100</v>
      </c>
      <c r="E33" s="237"/>
    </row>
    <row r="34" spans="1:5" ht="29.25" customHeight="1" x14ac:dyDescent="0.35">
      <c r="A34" s="239">
        <v>3</v>
      </c>
      <c r="B34" s="237" t="s">
        <v>418</v>
      </c>
      <c r="C34" s="238">
        <f>550*5000000</f>
        <v>2750000000</v>
      </c>
      <c r="D34" s="233">
        <f t="shared" si="0"/>
        <v>2750</v>
      </c>
      <c r="E34" s="237"/>
    </row>
    <row r="35" spans="1:5" ht="29.25" customHeight="1" x14ac:dyDescent="0.35">
      <c r="A35" s="14" t="s">
        <v>399</v>
      </c>
      <c r="B35" s="235" t="s">
        <v>417</v>
      </c>
      <c r="C35" s="236">
        <v>1500000000</v>
      </c>
      <c r="D35" s="233">
        <f t="shared" si="0"/>
        <v>1500</v>
      </c>
      <c r="E35" s="150"/>
    </row>
    <row r="36" spans="1:5" ht="29.25" customHeight="1" x14ac:dyDescent="0.35">
      <c r="A36" s="14" t="s">
        <v>403</v>
      </c>
      <c r="B36" s="235" t="s">
        <v>416</v>
      </c>
      <c r="C36" s="150"/>
      <c r="D36" s="233">
        <f t="shared" si="0"/>
        <v>0</v>
      </c>
      <c r="E36" s="150"/>
    </row>
    <row r="37" spans="1:5" ht="29.25" customHeight="1" x14ac:dyDescent="0.35">
      <c r="A37" s="20"/>
      <c r="B37" s="150" t="s">
        <v>415</v>
      </c>
      <c r="C37" s="150"/>
      <c r="D37" s="233">
        <f t="shared" si="0"/>
        <v>0</v>
      </c>
      <c r="E37" s="150"/>
    </row>
    <row r="38" spans="1:5" ht="29.25" customHeight="1" x14ac:dyDescent="0.35">
      <c r="A38" s="20"/>
      <c r="B38" s="14" t="s">
        <v>414</v>
      </c>
      <c r="C38" s="234">
        <f>C7+C18+C26+C31+C35</f>
        <v>179820099600</v>
      </c>
      <c r="D38" s="233">
        <f t="shared" si="0"/>
        <v>179820.09959999999</v>
      </c>
      <c r="E38" s="150"/>
    </row>
    <row r="39" spans="1:5" x14ac:dyDescent="0.35">
      <c r="A39" s="38"/>
      <c r="B39" s="10"/>
      <c r="C39" s="10"/>
      <c r="D39" s="10"/>
    </row>
    <row r="40" spans="1:5" x14ac:dyDescent="0.35">
      <c r="A40" s="38"/>
      <c r="B40" s="10"/>
      <c r="C40" s="714" t="s">
        <v>413</v>
      </c>
      <c r="D40" s="714"/>
      <c r="E40" s="714"/>
    </row>
    <row r="41" spans="1:5" x14ac:dyDescent="0.35">
      <c r="A41" s="38"/>
      <c r="B41" s="40" t="s">
        <v>88</v>
      </c>
      <c r="C41" s="715" t="s">
        <v>89</v>
      </c>
      <c r="D41" s="715"/>
      <c r="E41" s="715"/>
    </row>
    <row r="42" spans="1:5" x14ac:dyDescent="0.35">
      <c r="A42" s="232"/>
      <c r="B42" s="40"/>
      <c r="C42" s="76"/>
      <c r="D42" s="76"/>
    </row>
    <row r="43" spans="1:5" x14ac:dyDescent="0.35">
      <c r="A43" s="38"/>
      <c r="B43" s="10"/>
      <c r="C43" s="10"/>
      <c r="D43" s="10"/>
    </row>
    <row r="44" spans="1:5" x14ac:dyDescent="0.35">
      <c r="A44" s="38"/>
      <c r="B44" s="10"/>
      <c r="C44" s="10"/>
      <c r="D44" s="10"/>
    </row>
    <row r="45" spans="1:5" x14ac:dyDescent="0.35">
      <c r="A45" s="38"/>
      <c r="B45" s="10"/>
      <c r="C45" s="10"/>
      <c r="D45" s="10"/>
    </row>
    <row r="46" spans="1:5" x14ac:dyDescent="0.35">
      <c r="B46" s="231"/>
      <c r="C46" s="231"/>
      <c r="D46" s="231"/>
      <c r="E46" s="231"/>
    </row>
    <row r="47" spans="1:5" x14ac:dyDescent="0.35">
      <c r="B47" s="230" t="s">
        <v>412</v>
      </c>
      <c r="C47" s="710" t="s">
        <v>411</v>
      </c>
      <c r="D47" s="710"/>
      <c r="E47" s="710"/>
    </row>
  </sheetData>
  <mergeCells count="6">
    <mergeCell ref="C47:E47"/>
    <mergeCell ref="A1:B1"/>
    <mergeCell ref="A2:B2"/>
    <mergeCell ref="A3:E3"/>
    <mergeCell ref="C40:E40"/>
    <mergeCell ref="C41:E41"/>
  </mergeCells>
  <pageMargins left="0.7" right="0.48" top="0.75" bottom="0.75" header="0.3" footer="0.3"/>
  <pageSetup paperSize="9" scale="67" fitToHeight="0" orientation="portrait" r:id="rId1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  <pageSetUpPr fitToPage="1"/>
  </sheetPr>
  <dimension ref="A1:H44"/>
  <sheetViews>
    <sheetView topLeftCell="A13" workbookViewId="0">
      <selection activeCell="C8" sqref="C8"/>
    </sheetView>
  </sheetViews>
  <sheetFormatPr defaultRowHeight="15.5" x14ac:dyDescent="0.35"/>
  <cols>
    <col min="1" max="1" width="7.90625" style="229" customWidth="1"/>
    <col min="2" max="2" width="53.36328125" style="229" customWidth="1"/>
    <col min="3" max="4" width="25.453125" style="229" customWidth="1"/>
    <col min="5" max="5" width="28.36328125" style="229" customWidth="1"/>
    <col min="6" max="7" width="9.08984375" style="229"/>
    <col min="8" max="8" width="20.08984375" style="229" bestFit="1" customWidth="1"/>
    <col min="9" max="257" width="9.08984375" style="229"/>
    <col min="258" max="258" width="7.90625" style="229" customWidth="1"/>
    <col min="259" max="259" width="53.36328125" style="229" customWidth="1"/>
    <col min="260" max="260" width="25.453125" style="229" customWidth="1"/>
    <col min="261" max="261" width="28.36328125" style="229" customWidth="1"/>
    <col min="262" max="263" width="9.08984375" style="229"/>
    <col min="264" max="264" width="20.08984375" style="229" bestFit="1" customWidth="1"/>
    <col min="265" max="513" width="9.08984375" style="229"/>
    <col min="514" max="514" width="7.90625" style="229" customWidth="1"/>
    <col min="515" max="515" width="53.36328125" style="229" customWidth="1"/>
    <col min="516" max="516" width="25.453125" style="229" customWidth="1"/>
    <col min="517" max="517" width="28.36328125" style="229" customWidth="1"/>
    <col min="518" max="519" width="9.08984375" style="229"/>
    <col min="520" max="520" width="20.08984375" style="229" bestFit="1" customWidth="1"/>
    <col min="521" max="769" width="9.08984375" style="229"/>
    <col min="770" max="770" width="7.90625" style="229" customWidth="1"/>
    <col min="771" max="771" width="53.36328125" style="229" customWidth="1"/>
    <col min="772" max="772" width="25.453125" style="229" customWidth="1"/>
    <col min="773" max="773" width="28.36328125" style="229" customWidth="1"/>
    <col min="774" max="775" width="9.08984375" style="229"/>
    <col min="776" max="776" width="20.08984375" style="229" bestFit="1" customWidth="1"/>
    <col min="777" max="1025" width="9.08984375" style="229"/>
    <col min="1026" max="1026" width="7.90625" style="229" customWidth="1"/>
    <col min="1027" max="1027" width="53.36328125" style="229" customWidth="1"/>
    <col min="1028" max="1028" width="25.453125" style="229" customWidth="1"/>
    <col min="1029" max="1029" width="28.36328125" style="229" customWidth="1"/>
    <col min="1030" max="1031" width="9.08984375" style="229"/>
    <col min="1032" max="1032" width="20.08984375" style="229" bestFit="1" customWidth="1"/>
    <col min="1033" max="1281" width="9.08984375" style="229"/>
    <col min="1282" max="1282" width="7.90625" style="229" customWidth="1"/>
    <col min="1283" max="1283" width="53.36328125" style="229" customWidth="1"/>
    <col min="1284" max="1284" width="25.453125" style="229" customWidth="1"/>
    <col min="1285" max="1285" width="28.36328125" style="229" customWidth="1"/>
    <col min="1286" max="1287" width="9.08984375" style="229"/>
    <col min="1288" max="1288" width="20.08984375" style="229" bestFit="1" customWidth="1"/>
    <col min="1289" max="1537" width="9.08984375" style="229"/>
    <col min="1538" max="1538" width="7.90625" style="229" customWidth="1"/>
    <col min="1539" max="1539" width="53.36328125" style="229" customWidth="1"/>
    <col min="1540" max="1540" width="25.453125" style="229" customWidth="1"/>
    <col min="1541" max="1541" width="28.36328125" style="229" customWidth="1"/>
    <col min="1542" max="1543" width="9.08984375" style="229"/>
    <col min="1544" max="1544" width="20.08984375" style="229" bestFit="1" customWidth="1"/>
    <col min="1545" max="1793" width="9.08984375" style="229"/>
    <col min="1794" max="1794" width="7.90625" style="229" customWidth="1"/>
    <col min="1795" max="1795" width="53.36328125" style="229" customWidth="1"/>
    <col min="1796" max="1796" width="25.453125" style="229" customWidth="1"/>
    <col min="1797" max="1797" width="28.36328125" style="229" customWidth="1"/>
    <col min="1798" max="1799" width="9.08984375" style="229"/>
    <col min="1800" max="1800" width="20.08984375" style="229" bestFit="1" customWidth="1"/>
    <col min="1801" max="2049" width="9.08984375" style="229"/>
    <col min="2050" max="2050" width="7.90625" style="229" customWidth="1"/>
    <col min="2051" max="2051" width="53.36328125" style="229" customWidth="1"/>
    <col min="2052" max="2052" width="25.453125" style="229" customWidth="1"/>
    <col min="2053" max="2053" width="28.36328125" style="229" customWidth="1"/>
    <col min="2054" max="2055" width="9.08984375" style="229"/>
    <col min="2056" max="2056" width="20.08984375" style="229" bestFit="1" customWidth="1"/>
    <col min="2057" max="2305" width="9.08984375" style="229"/>
    <col min="2306" max="2306" width="7.90625" style="229" customWidth="1"/>
    <col min="2307" max="2307" width="53.36328125" style="229" customWidth="1"/>
    <col min="2308" max="2308" width="25.453125" style="229" customWidth="1"/>
    <col min="2309" max="2309" width="28.36328125" style="229" customWidth="1"/>
    <col min="2310" max="2311" width="9.08984375" style="229"/>
    <col min="2312" max="2312" width="20.08984375" style="229" bestFit="1" customWidth="1"/>
    <col min="2313" max="2561" width="9.08984375" style="229"/>
    <col min="2562" max="2562" width="7.90625" style="229" customWidth="1"/>
    <col min="2563" max="2563" width="53.36328125" style="229" customWidth="1"/>
    <col min="2564" max="2564" width="25.453125" style="229" customWidth="1"/>
    <col min="2565" max="2565" width="28.36328125" style="229" customWidth="1"/>
    <col min="2566" max="2567" width="9.08984375" style="229"/>
    <col min="2568" max="2568" width="20.08984375" style="229" bestFit="1" customWidth="1"/>
    <col min="2569" max="2817" width="9.08984375" style="229"/>
    <col min="2818" max="2818" width="7.90625" style="229" customWidth="1"/>
    <col min="2819" max="2819" width="53.36328125" style="229" customWidth="1"/>
    <col min="2820" max="2820" width="25.453125" style="229" customWidth="1"/>
    <col min="2821" max="2821" width="28.36328125" style="229" customWidth="1"/>
    <col min="2822" max="2823" width="9.08984375" style="229"/>
    <col min="2824" max="2824" width="20.08984375" style="229" bestFit="1" customWidth="1"/>
    <col min="2825" max="3073" width="9.08984375" style="229"/>
    <col min="3074" max="3074" width="7.90625" style="229" customWidth="1"/>
    <col min="3075" max="3075" width="53.36328125" style="229" customWidth="1"/>
    <col min="3076" max="3076" width="25.453125" style="229" customWidth="1"/>
    <col min="3077" max="3077" width="28.36328125" style="229" customWidth="1"/>
    <col min="3078" max="3079" width="9.08984375" style="229"/>
    <col min="3080" max="3080" width="20.08984375" style="229" bestFit="1" customWidth="1"/>
    <col min="3081" max="3329" width="9.08984375" style="229"/>
    <col min="3330" max="3330" width="7.90625" style="229" customWidth="1"/>
    <col min="3331" max="3331" width="53.36328125" style="229" customWidth="1"/>
    <col min="3332" max="3332" width="25.453125" style="229" customWidth="1"/>
    <col min="3333" max="3333" width="28.36328125" style="229" customWidth="1"/>
    <col min="3334" max="3335" width="9.08984375" style="229"/>
    <col min="3336" max="3336" width="20.08984375" style="229" bestFit="1" customWidth="1"/>
    <col min="3337" max="3585" width="9.08984375" style="229"/>
    <col min="3586" max="3586" width="7.90625" style="229" customWidth="1"/>
    <col min="3587" max="3587" width="53.36328125" style="229" customWidth="1"/>
    <col min="3588" max="3588" width="25.453125" style="229" customWidth="1"/>
    <col min="3589" max="3589" width="28.36328125" style="229" customWidth="1"/>
    <col min="3590" max="3591" width="9.08984375" style="229"/>
    <col min="3592" max="3592" width="20.08984375" style="229" bestFit="1" customWidth="1"/>
    <col min="3593" max="3841" width="9.08984375" style="229"/>
    <col min="3842" max="3842" width="7.90625" style="229" customWidth="1"/>
    <col min="3843" max="3843" width="53.36328125" style="229" customWidth="1"/>
    <col min="3844" max="3844" width="25.453125" style="229" customWidth="1"/>
    <col min="3845" max="3845" width="28.36328125" style="229" customWidth="1"/>
    <col min="3846" max="3847" width="9.08984375" style="229"/>
    <col min="3848" max="3848" width="20.08984375" style="229" bestFit="1" customWidth="1"/>
    <col min="3849" max="4097" width="9.08984375" style="229"/>
    <col min="4098" max="4098" width="7.90625" style="229" customWidth="1"/>
    <col min="4099" max="4099" width="53.36328125" style="229" customWidth="1"/>
    <col min="4100" max="4100" width="25.453125" style="229" customWidth="1"/>
    <col min="4101" max="4101" width="28.36328125" style="229" customWidth="1"/>
    <col min="4102" max="4103" width="9.08984375" style="229"/>
    <col min="4104" max="4104" width="20.08984375" style="229" bestFit="1" customWidth="1"/>
    <col min="4105" max="4353" width="9.08984375" style="229"/>
    <col min="4354" max="4354" width="7.90625" style="229" customWidth="1"/>
    <col min="4355" max="4355" width="53.36328125" style="229" customWidth="1"/>
    <col min="4356" max="4356" width="25.453125" style="229" customWidth="1"/>
    <col min="4357" max="4357" width="28.36328125" style="229" customWidth="1"/>
    <col min="4358" max="4359" width="9.08984375" style="229"/>
    <col min="4360" max="4360" width="20.08984375" style="229" bestFit="1" customWidth="1"/>
    <col min="4361" max="4609" width="9.08984375" style="229"/>
    <col min="4610" max="4610" width="7.90625" style="229" customWidth="1"/>
    <col min="4611" max="4611" width="53.36328125" style="229" customWidth="1"/>
    <col min="4612" max="4612" width="25.453125" style="229" customWidth="1"/>
    <col min="4613" max="4613" width="28.36328125" style="229" customWidth="1"/>
    <col min="4614" max="4615" width="9.08984375" style="229"/>
    <col min="4616" max="4616" width="20.08984375" style="229" bestFit="1" customWidth="1"/>
    <col min="4617" max="4865" width="9.08984375" style="229"/>
    <col min="4866" max="4866" width="7.90625" style="229" customWidth="1"/>
    <col min="4867" max="4867" width="53.36328125" style="229" customWidth="1"/>
    <col min="4868" max="4868" width="25.453125" style="229" customWidth="1"/>
    <col min="4869" max="4869" width="28.36328125" style="229" customWidth="1"/>
    <col min="4870" max="4871" width="9.08984375" style="229"/>
    <col min="4872" max="4872" width="20.08984375" style="229" bestFit="1" customWidth="1"/>
    <col min="4873" max="5121" width="9.08984375" style="229"/>
    <col min="5122" max="5122" width="7.90625" style="229" customWidth="1"/>
    <col min="5123" max="5123" width="53.36328125" style="229" customWidth="1"/>
    <col min="5124" max="5124" width="25.453125" style="229" customWidth="1"/>
    <col min="5125" max="5125" width="28.36328125" style="229" customWidth="1"/>
    <col min="5126" max="5127" width="9.08984375" style="229"/>
    <col min="5128" max="5128" width="20.08984375" style="229" bestFit="1" customWidth="1"/>
    <col min="5129" max="5377" width="9.08984375" style="229"/>
    <col min="5378" max="5378" width="7.90625" style="229" customWidth="1"/>
    <col min="5379" max="5379" width="53.36328125" style="229" customWidth="1"/>
    <col min="5380" max="5380" width="25.453125" style="229" customWidth="1"/>
    <col min="5381" max="5381" width="28.36328125" style="229" customWidth="1"/>
    <col min="5382" max="5383" width="9.08984375" style="229"/>
    <col min="5384" max="5384" width="20.08984375" style="229" bestFit="1" customWidth="1"/>
    <col min="5385" max="5633" width="9.08984375" style="229"/>
    <col min="5634" max="5634" width="7.90625" style="229" customWidth="1"/>
    <col min="5635" max="5635" width="53.36328125" style="229" customWidth="1"/>
    <col min="5636" max="5636" width="25.453125" style="229" customWidth="1"/>
    <col min="5637" max="5637" width="28.36328125" style="229" customWidth="1"/>
    <col min="5638" max="5639" width="9.08984375" style="229"/>
    <col min="5640" max="5640" width="20.08984375" style="229" bestFit="1" customWidth="1"/>
    <col min="5641" max="5889" width="9.08984375" style="229"/>
    <col min="5890" max="5890" width="7.90625" style="229" customWidth="1"/>
    <col min="5891" max="5891" width="53.36328125" style="229" customWidth="1"/>
    <col min="5892" max="5892" width="25.453125" style="229" customWidth="1"/>
    <col min="5893" max="5893" width="28.36328125" style="229" customWidth="1"/>
    <col min="5894" max="5895" width="9.08984375" style="229"/>
    <col min="5896" max="5896" width="20.08984375" style="229" bestFit="1" customWidth="1"/>
    <col min="5897" max="6145" width="9.08984375" style="229"/>
    <col min="6146" max="6146" width="7.90625" style="229" customWidth="1"/>
    <col min="6147" max="6147" width="53.36328125" style="229" customWidth="1"/>
    <col min="6148" max="6148" width="25.453125" style="229" customWidth="1"/>
    <col min="6149" max="6149" width="28.36328125" style="229" customWidth="1"/>
    <col min="6150" max="6151" width="9.08984375" style="229"/>
    <col min="6152" max="6152" width="20.08984375" style="229" bestFit="1" customWidth="1"/>
    <col min="6153" max="6401" width="9.08984375" style="229"/>
    <col min="6402" max="6402" width="7.90625" style="229" customWidth="1"/>
    <col min="6403" max="6403" width="53.36328125" style="229" customWidth="1"/>
    <col min="6404" max="6404" width="25.453125" style="229" customWidth="1"/>
    <col min="6405" max="6405" width="28.36328125" style="229" customWidth="1"/>
    <col min="6406" max="6407" width="9.08984375" style="229"/>
    <col min="6408" max="6408" width="20.08984375" style="229" bestFit="1" customWidth="1"/>
    <col min="6409" max="6657" width="9.08984375" style="229"/>
    <col min="6658" max="6658" width="7.90625" style="229" customWidth="1"/>
    <col min="6659" max="6659" width="53.36328125" style="229" customWidth="1"/>
    <col min="6660" max="6660" width="25.453125" style="229" customWidth="1"/>
    <col min="6661" max="6661" width="28.36328125" style="229" customWidth="1"/>
    <col min="6662" max="6663" width="9.08984375" style="229"/>
    <col min="6664" max="6664" width="20.08984375" style="229" bestFit="1" customWidth="1"/>
    <col min="6665" max="6913" width="9.08984375" style="229"/>
    <col min="6914" max="6914" width="7.90625" style="229" customWidth="1"/>
    <col min="6915" max="6915" width="53.36328125" style="229" customWidth="1"/>
    <col min="6916" max="6916" width="25.453125" style="229" customWidth="1"/>
    <col min="6917" max="6917" width="28.36328125" style="229" customWidth="1"/>
    <col min="6918" max="6919" width="9.08984375" style="229"/>
    <col min="6920" max="6920" width="20.08984375" style="229" bestFit="1" customWidth="1"/>
    <col min="6921" max="7169" width="9.08984375" style="229"/>
    <col min="7170" max="7170" width="7.90625" style="229" customWidth="1"/>
    <col min="7171" max="7171" width="53.36328125" style="229" customWidth="1"/>
    <col min="7172" max="7172" width="25.453125" style="229" customWidth="1"/>
    <col min="7173" max="7173" width="28.36328125" style="229" customWidth="1"/>
    <col min="7174" max="7175" width="9.08984375" style="229"/>
    <col min="7176" max="7176" width="20.08984375" style="229" bestFit="1" customWidth="1"/>
    <col min="7177" max="7425" width="9.08984375" style="229"/>
    <col min="7426" max="7426" width="7.90625" style="229" customWidth="1"/>
    <col min="7427" max="7427" width="53.36328125" style="229" customWidth="1"/>
    <col min="7428" max="7428" width="25.453125" style="229" customWidth="1"/>
    <col min="7429" max="7429" width="28.36328125" style="229" customWidth="1"/>
    <col min="7430" max="7431" width="9.08984375" style="229"/>
    <col min="7432" max="7432" width="20.08984375" style="229" bestFit="1" customWidth="1"/>
    <col min="7433" max="7681" width="9.08984375" style="229"/>
    <col min="7682" max="7682" width="7.90625" style="229" customWidth="1"/>
    <col min="7683" max="7683" width="53.36328125" style="229" customWidth="1"/>
    <col min="7684" max="7684" width="25.453125" style="229" customWidth="1"/>
    <col min="7685" max="7685" width="28.36328125" style="229" customWidth="1"/>
    <col min="7686" max="7687" width="9.08984375" style="229"/>
    <col min="7688" max="7688" width="20.08984375" style="229" bestFit="1" customWidth="1"/>
    <col min="7689" max="7937" width="9.08984375" style="229"/>
    <col min="7938" max="7938" width="7.90625" style="229" customWidth="1"/>
    <col min="7939" max="7939" width="53.36328125" style="229" customWidth="1"/>
    <col min="7940" max="7940" width="25.453125" style="229" customWidth="1"/>
    <col min="7941" max="7941" width="28.36328125" style="229" customWidth="1"/>
    <col min="7942" max="7943" width="9.08984375" style="229"/>
    <col min="7944" max="7944" width="20.08984375" style="229" bestFit="1" customWidth="1"/>
    <col min="7945" max="8193" width="9.08984375" style="229"/>
    <col min="8194" max="8194" width="7.90625" style="229" customWidth="1"/>
    <col min="8195" max="8195" width="53.36328125" style="229" customWidth="1"/>
    <col min="8196" max="8196" width="25.453125" style="229" customWidth="1"/>
    <col min="8197" max="8197" width="28.36328125" style="229" customWidth="1"/>
    <col min="8198" max="8199" width="9.08984375" style="229"/>
    <col min="8200" max="8200" width="20.08984375" style="229" bestFit="1" customWidth="1"/>
    <col min="8201" max="8449" width="9.08984375" style="229"/>
    <col min="8450" max="8450" width="7.90625" style="229" customWidth="1"/>
    <col min="8451" max="8451" width="53.36328125" style="229" customWidth="1"/>
    <col min="8452" max="8452" width="25.453125" style="229" customWidth="1"/>
    <col min="8453" max="8453" width="28.36328125" style="229" customWidth="1"/>
    <col min="8454" max="8455" width="9.08984375" style="229"/>
    <col min="8456" max="8456" width="20.08984375" style="229" bestFit="1" customWidth="1"/>
    <col min="8457" max="8705" width="9.08984375" style="229"/>
    <col min="8706" max="8706" width="7.90625" style="229" customWidth="1"/>
    <col min="8707" max="8707" width="53.36328125" style="229" customWidth="1"/>
    <col min="8708" max="8708" width="25.453125" style="229" customWidth="1"/>
    <col min="8709" max="8709" width="28.36328125" style="229" customWidth="1"/>
    <col min="8710" max="8711" width="9.08984375" style="229"/>
    <col min="8712" max="8712" width="20.08984375" style="229" bestFit="1" customWidth="1"/>
    <col min="8713" max="8961" width="9.08984375" style="229"/>
    <col min="8962" max="8962" width="7.90625" style="229" customWidth="1"/>
    <col min="8963" max="8963" width="53.36328125" style="229" customWidth="1"/>
    <col min="8964" max="8964" width="25.453125" style="229" customWidth="1"/>
    <col min="8965" max="8965" width="28.36328125" style="229" customWidth="1"/>
    <col min="8966" max="8967" width="9.08984375" style="229"/>
    <col min="8968" max="8968" width="20.08984375" style="229" bestFit="1" customWidth="1"/>
    <col min="8969" max="9217" width="9.08984375" style="229"/>
    <col min="9218" max="9218" width="7.90625" style="229" customWidth="1"/>
    <col min="9219" max="9219" width="53.36328125" style="229" customWidth="1"/>
    <col min="9220" max="9220" width="25.453125" style="229" customWidth="1"/>
    <col min="9221" max="9221" width="28.36328125" style="229" customWidth="1"/>
    <col min="9222" max="9223" width="9.08984375" style="229"/>
    <col min="9224" max="9224" width="20.08984375" style="229" bestFit="1" customWidth="1"/>
    <col min="9225" max="9473" width="9.08984375" style="229"/>
    <col min="9474" max="9474" width="7.90625" style="229" customWidth="1"/>
    <col min="9475" max="9475" width="53.36328125" style="229" customWidth="1"/>
    <col min="9476" max="9476" width="25.453125" style="229" customWidth="1"/>
    <col min="9477" max="9477" width="28.36328125" style="229" customWidth="1"/>
    <col min="9478" max="9479" width="9.08984375" style="229"/>
    <col min="9480" max="9480" width="20.08984375" style="229" bestFit="1" customWidth="1"/>
    <col min="9481" max="9729" width="9.08984375" style="229"/>
    <col min="9730" max="9730" width="7.90625" style="229" customWidth="1"/>
    <col min="9731" max="9731" width="53.36328125" style="229" customWidth="1"/>
    <col min="9732" max="9732" width="25.453125" style="229" customWidth="1"/>
    <col min="9733" max="9733" width="28.36328125" style="229" customWidth="1"/>
    <col min="9734" max="9735" width="9.08984375" style="229"/>
    <col min="9736" max="9736" width="20.08984375" style="229" bestFit="1" customWidth="1"/>
    <col min="9737" max="9985" width="9.08984375" style="229"/>
    <col min="9986" max="9986" width="7.90625" style="229" customWidth="1"/>
    <col min="9987" max="9987" width="53.36328125" style="229" customWidth="1"/>
    <col min="9988" max="9988" width="25.453125" style="229" customWidth="1"/>
    <col min="9989" max="9989" width="28.36328125" style="229" customWidth="1"/>
    <col min="9990" max="9991" width="9.08984375" style="229"/>
    <col min="9992" max="9992" width="20.08984375" style="229" bestFit="1" customWidth="1"/>
    <col min="9993" max="10241" width="9.08984375" style="229"/>
    <col min="10242" max="10242" width="7.90625" style="229" customWidth="1"/>
    <col min="10243" max="10243" width="53.36328125" style="229" customWidth="1"/>
    <col min="10244" max="10244" width="25.453125" style="229" customWidth="1"/>
    <col min="10245" max="10245" width="28.36328125" style="229" customWidth="1"/>
    <col min="10246" max="10247" width="9.08984375" style="229"/>
    <col min="10248" max="10248" width="20.08984375" style="229" bestFit="1" customWidth="1"/>
    <col min="10249" max="10497" width="9.08984375" style="229"/>
    <col min="10498" max="10498" width="7.90625" style="229" customWidth="1"/>
    <col min="10499" max="10499" width="53.36328125" style="229" customWidth="1"/>
    <col min="10500" max="10500" width="25.453125" style="229" customWidth="1"/>
    <col min="10501" max="10501" width="28.36328125" style="229" customWidth="1"/>
    <col min="10502" max="10503" width="9.08984375" style="229"/>
    <col min="10504" max="10504" width="20.08984375" style="229" bestFit="1" customWidth="1"/>
    <col min="10505" max="10753" width="9.08984375" style="229"/>
    <col min="10754" max="10754" width="7.90625" style="229" customWidth="1"/>
    <col min="10755" max="10755" width="53.36328125" style="229" customWidth="1"/>
    <col min="10756" max="10756" width="25.453125" style="229" customWidth="1"/>
    <col min="10757" max="10757" width="28.36328125" style="229" customWidth="1"/>
    <col min="10758" max="10759" width="9.08984375" style="229"/>
    <col min="10760" max="10760" width="20.08984375" style="229" bestFit="1" customWidth="1"/>
    <col min="10761" max="11009" width="9.08984375" style="229"/>
    <col min="11010" max="11010" width="7.90625" style="229" customWidth="1"/>
    <col min="11011" max="11011" width="53.36328125" style="229" customWidth="1"/>
    <col min="11012" max="11012" width="25.453125" style="229" customWidth="1"/>
    <col min="11013" max="11013" width="28.36328125" style="229" customWidth="1"/>
    <col min="11014" max="11015" width="9.08984375" style="229"/>
    <col min="11016" max="11016" width="20.08984375" style="229" bestFit="1" customWidth="1"/>
    <col min="11017" max="11265" width="9.08984375" style="229"/>
    <col min="11266" max="11266" width="7.90625" style="229" customWidth="1"/>
    <col min="11267" max="11267" width="53.36328125" style="229" customWidth="1"/>
    <col min="11268" max="11268" width="25.453125" style="229" customWidth="1"/>
    <col min="11269" max="11269" width="28.36328125" style="229" customWidth="1"/>
    <col min="11270" max="11271" width="9.08984375" style="229"/>
    <col min="11272" max="11272" width="20.08984375" style="229" bestFit="1" customWidth="1"/>
    <col min="11273" max="11521" width="9.08984375" style="229"/>
    <col min="11522" max="11522" width="7.90625" style="229" customWidth="1"/>
    <col min="11523" max="11523" width="53.36328125" style="229" customWidth="1"/>
    <col min="11524" max="11524" width="25.453125" style="229" customWidth="1"/>
    <col min="11525" max="11525" width="28.36328125" style="229" customWidth="1"/>
    <col min="11526" max="11527" width="9.08984375" style="229"/>
    <col min="11528" max="11528" width="20.08984375" style="229" bestFit="1" customWidth="1"/>
    <col min="11529" max="11777" width="9.08984375" style="229"/>
    <col min="11778" max="11778" width="7.90625" style="229" customWidth="1"/>
    <col min="11779" max="11779" width="53.36328125" style="229" customWidth="1"/>
    <col min="11780" max="11780" width="25.453125" style="229" customWidth="1"/>
    <col min="11781" max="11781" width="28.36328125" style="229" customWidth="1"/>
    <col min="11782" max="11783" width="9.08984375" style="229"/>
    <col min="11784" max="11784" width="20.08984375" style="229" bestFit="1" customWidth="1"/>
    <col min="11785" max="12033" width="9.08984375" style="229"/>
    <col min="12034" max="12034" width="7.90625" style="229" customWidth="1"/>
    <col min="12035" max="12035" width="53.36328125" style="229" customWidth="1"/>
    <col min="12036" max="12036" width="25.453125" style="229" customWidth="1"/>
    <col min="12037" max="12037" width="28.36328125" style="229" customWidth="1"/>
    <col min="12038" max="12039" width="9.08984375" style="229"/>
    <col min="12040" max="12040" width="20.08984375" style="229" bestFit="1" customWidth="1"/>
    <col min="12041" max="12289" width="9.08984375" style="229"/>
    <col min="12290" max="12290" width="7.90625" style="229" customWidth="1"/>
    <col min="12291" max="12291" width="53.36328125" style="229" customWidth="1"/>
    <col min="12292" max="12292" width="25.453125" style="229" customWidth="1"/>
    <col min="12293" max="12293" width="28.36328125" style="229" customWidth="1"/>
    <col min="12294" max="12295" width="9.08984375" style="229"/>
    <col min="12296" max="12296" width="20.08984375" style="229" bestFit="1" customWidth="1"/>
    <col min="12297" max="12545" width="9.08984375" style="229"/>
    <col min="12546" max="12546" width="7.90625" style="229" customWidth="1"/>
    <col min="12547" max="12547" width="53.36328125" style="229" customWidth="1"/>
    <col min="12548" max="12548" width="25.453125" style="229" customWidth="1"/>
    <col min="12549" max="12549" width="28.36328125" style="229" customWidth="1"/>
    <col min="12550" max="12551" width="9.08984375" style="229"/>
    <col min="12552" max="12552" width="20.08984375" style="229" bestFit="1" customWidth="1"/>
    <col min="12553" max="12801" width="9.08984375" style="229"/>
    <col min="12802" max="12802" width="7.90625" style="229" customWidth="1"/>
    <col min="12803" max="12803" width="53.36328125" style="229" customWidth="1"/>
    <col min="12804" max="12804" width="25.453125" style="229" customWidth="1"/>
    <col min="12805" max="12805" width="28.36328125" style="229" customWidth="1"/>
    <col min="12806" max="12807" width="9.08984375" style="229"/>
    <col min="12808" max="12808" width="20.08984375" style="229" bestFit="1" customWidth="1"/>
    <col min="12809" max="13057" width="9.08984375" style="229"/>
    <col min="13058" max="13058" width="7.90625" style="229" customWidth="1"/>
    <col min="13059" max="13059" width="53.36328125" style="229" customWidth="1"/>
    <col min="13060" max="13060" width="25.453125" style="229" customWidth="1"/>
    <col min="13061" max="13061" width="28.36328125" style="229" customWidth="1"/>
    <col min="13062" max="13063" width="9.08984375" style="229"/>
    <col min="13064" max="13064" width="20.08984375" style="229" bestFit="1" customWidth="1"/>
    <col min="13065" max="13313" width="9.08984375" style="229"/>
    <col min="13314" max="13314" width="7.90625" style="229" customWidth="1"/>
    <col min="13315" max="13315" width="53.36328125" style="229" customWidth="1"/>
    <col min="13316" max="13316" width="25.453125" style="229" customWidth="1"/>
    <col min="13317" max="13317" width="28.36328125" style="229" customWidth="1"/>
    <col min="13318" max="13319" width="9.08984375" style="229"/>
    <col min="13320" max="13320" width="20.08984375" style="229" bestFit="1" customWidth="1"/>
    <col min="13321" max="13569" width="9.08984375" style="229"/>
    <col min="13570" max="13570" width="7.90625" style="229" customWidth="1"/>
    <col min="13571" max="13571" width="53.36328125" style="229" customWidth="1"/>
    <col min="13572" max="13572" width="25.453125" style="229" customWidth="1"/>
    <col min="13573" max="13573" width="28.36328125" style="229" customWidth="1"/>
    <col min="13574" max="13575" width="9.08984375" style="229"/>
    <col min="13576" max="13576" width="20.08984375" style="229" bestFit="1" customWidth="1"/>
    <col min="13577" max="13825" width="9.08984375" style="229"/>
    <col min="13826" max="13826" width="7.90625" style="229" customWidth="1"/>
    <col min="13827" max="13827" width="53.36328125" style="229" customWidth="1"/>
    <col min="13828" max="13828" width="25.453125" style="229" customWidth="1"/>
    <col min="13829" max="13829" width="28.36328125" style="229" customWidth="1"/>
    <col min="13830" max="13831" width="9.08984375" style="229"/>
    <col min="13832" max="13832" width="20.08984375" style="229" bestFit="1" customWidth="1"/>
    <col min="13833" max="14081" width="9.08984375" style="229"/>
    <col min="14082" max="14082" width="7.90625" style="229" customWidth="1"/>
    <col min="14083" max="14083" width="53.36328125" style="229" customWidth="1"/>
    <col min="14084" max="14084" width="25.453125" style="229" customWidth="1"/>
    <col min="14085" max="14085" width="28.36328125" style="229" customWidth="1"/>
    <col min="14086" max="14087" width="9.08984375" style="229"/>
    <col min="14088" max="14088" width="20.08984375" style="229" bestFit="1" customWidth="1"/>
    <col min="14089" max="14337" width="9.08984375" style="229"/>
    <col min="14338" max="14338" width="7.90625" style="229" customWidth="1"/>
    <col min="14339" max="14339" width="53.36328125" style="229" customWidth="1"/>
    <col min="14340" max="14340" width="25.453125" style="229" customWidth="1"/>
    <col min="14341" max="14341" width="28.36328125" style="229" customWidth="1"/>
    <col min="14342" max="14343" width="9.08984375" style="229"/>
    <col min="14344" max="14344" width="20.08984375" style="229" bestFit="1" customWidth="1"/>
    <col min="14345" max="14593" width="9.08984375" style="229"/>
    <col min="14594" max="14594" width="7.90625" style="229" customWidth="1"/>
    <col min="14595" max="14595" width="53.36328125" style="229" customWidth="1"/>
    <col min="14596" max="14596" width="25.453125" style="229" customWidth="1"/>
    <col min="14597" max="14597" width="28.36328125" style="229" customWidth="1"/>
    <col min="14598" max="14599" width="9.08984375" style="229"/>
    <col min="14600" max="14600" width="20.08984375" style="229" bestFit="1" customWidth="1"/>
    <col min="14601" max="14849" width="9.08984375" style="229"/>
    <col min="14850" max="14850" width="7.90625" style="229" customWidth="1"/>
    <col min="14851" max="14851" width="53.36328125" style="229" customWidth="1"/>
    <col min="14852" max="14852" width="25.453125" style="229" customWidth="1"/>
    <col min="14853" max="14853" width="28.36328125" style="229" customWidth="1"/>
    <col min="14854" max="14855" width="9.08984375" style="229"/>
    <col min="14856" max="14856" width="20.08984375" style="229" bestFit="1" customWidth="1"/>
    <col min="14857" max="15105" width="9.08984375" style="229"/>
    <col min="15106" max="15106" width="7.90625" style="229" customWidth="1"/>
    <col min="15107" max="15107" width="53.36328125" style="229" customWidth="1"/>
    <col min="15108" max="15108" width="25.453125" style="229" customWidth="1"/>
    <col min="15109" max="15109" width="28.36328125" style="229" customWidth="1"/>
    <col min="15110" max="15111" width="9.08984375" style="229"/>
    <col min="15112" max="15112" width="20.08984375" style="229" bestFit="1" customWidth="1"/>
    <col min="15113" max="15361" width="9.08984375" style="229"/>
    <col min="15362" max="15362" width="7.90625" style="229" customWidth="1"/>
    <col min="15363" max="15363" width="53.36328125" style="229" customWidth="1"/>
    <col min="15364" max="15364" width="25.453125" style="229" customWidth="1"/>
    <col min="15365" max="15365" width="28.36328125" style="229" customWidth="1"/>
    <col min="15366" max="15367" width="9.08984375" style="229"/>
    <col min="15368" max="15368" width="20.08984375" style="229" bestFit="1" customWidth="1"/>
    <col min="15369" max="15617" width="9.08984375" style="229"/>
    <col min="15618" max="15618" width="7.90625" style="229" customWidth="1"/>
    <col min="15619" max="15619" width="53.36328125" style="229" customWidth="1"/>
    <col min="15620" max="15620" width="25.453125" style="229" customWidth="1"/>
    <col min="15621" max="15621" width="28.36328125" style="229" customWidth="1"/>
    <col min="15622" max="15623" width="9.08984375" style="229"/>
    <col min="15624" max="15624" width="20.08984375" style="229" bestFit="1" customWidth="1"/>
    <col min="15625" max="15873" width="9.08984375" style="229"/>
    <col min="15874" max="15874" width="7.90625" style="229" customWidth="1"/>
    <col min="15875" max="15875" width="53.36328125" style="229" customWidth="1"/>
    <col min="15876" max="15876" width="25.453125" style="229" customWidth="1"/>
    <col min="15877" max="15877" width="28.36328125" style="229" customWidth="1"/>
    <col min="15878" max="15879" width="9.08984375" style="229"/>
    <col min="15880" max="15880" width="20.08984375" style="229" bestFit="1" customWidth="1"/>
    <col min="15881" max="16129" width="9.08984375" style="229"/>
    <col min="16130" max="16130" width="7.90625" style="229" customWidth="1"/>
    <col min="16131" max="16131" width="53.36328125" style="229" customWidth="1"/>
    <col min="16132" max="16132" width="25.453125" style="229" customWidth="1"/>
    <col min="16133" max="16133" width="28.36328125" style="229" customWidth="1"/>
    <col min="16134" max="16135" width="9.08984375" style="229"/>
    <col min="16136" max="16136" width="20.08984375" style="229" bestFit="1" customWidth="1"/>
    <col min="16137" max="16384" width="9.08984375" style="229"/>
  </cols>
  <sheetData>
    <row r="1" spans="1:8" ht="15" customHeight="1" x14ac:dyDescent="0.35">
      <c r="A1" s="711" t="s">
        <v>0</v>
      </c>
      <c r="B1" s="711"/>
      <c r="E1" s="38" t="s">
        <v>451</v>
      </c>
    </row>
    <row r="2" spans="1:8" x14ac:dyDescent="0.35">
      <c r="A2" s="712" t="s">
        <v>450</v>
      </c>
      <c r="B2" s="712"/>
      <c r="C2" s="265"/>
      <c r="D2" s="265"/>
      <c r="E2" s="265"/>
    </row>
    <row r="3" spans="1:8" ht="53.25" customHeight="1" x14ac:dyDescent="0.35">
      <c r="A3" s="713" t="s">
        <v>449</v>
      </c>
      <c r="B3" s="713"/>
      <c r="C3" s="713"/>
      <c r="D3" s="713"/>
      <c r="E3" s="713"/>
    </row>
    <row r="4" spans="1:8" x14ac:dyDescent="0.35">
      <c r="A4" s="38"/>
      <c r="B4" s="10"/>
      <c r="C4" s="10"/>
      <c r="D4" s="10"/>
      <c r="E4" s="264" t="s">
        <v>1</v>
      </c>
    </row>
    <row r="5" spans="1:8" ht="35.25" customHeight="1" x14ac:dyDescent="0.35">
      <c r="A5" s="55" t="s">
        <v>2</v>
      </c>
      <c r="B5" s="263" t="s">
        <v>68</v>
      </c>
      <c r="C5" s="262" t="s">
        <v>448</v>
      </c>
      <c r="D5" s="262"/>
      <c r="E5" s="55" t="s">
        <v>22</v>
      </c>
    </row>
    <row r="6" spans="1:8" ht="21.75" customHeight="1" x14ac:dyDescent="0.35">
      <c r="A6" s="260">
        <v>1</v>
      </c>
      <c r="B6" s="261">
        <v>2</v>
      </c>
      <c r="C6" s="260">
        <v>3</v>
      </c>
      <c r="D6" s="260"/>
      <c r="E6" s="260">
        <v>4</v>
      </c>
    </row>
    <row r="7" spans="1:8" ht="24.75" customHeight="1" x14ac:dyDescent="0.35">
      <c r="A7" s="14" t="s">
        <v>8</v>
      </c>
      <c r="B7" s="235" t="s">
        <v>447</v>
      </c>
      <c r="C7" s="233">
        <f>SUM(C8:C14)</f>
        <v>77539758000</v>
      </c>
      <c r="D7" s="233">
        <f t="shared" ref="D7:D35" si="0">C7/1000000</f>
        <v>77539.758000000002</v>
      </c>
      <c r="E7" s="150"/>
    </row>
    <row r="8" spans="1:8" ht="29.25" customHeight="1" x14ac:dyDescent="0.35">
      <c r="A8" s="240">
        <v>1</v>
      </c>
      <c r="B8" s="242" t="s">
        <v>446</v>
      </c>
      <c r="C8" s="241">
        <f>(1674*1800000*6)+(1674*2340000*6)</f>
        <v>41582160000</v>
      </c>
      <c r="D8" s="233">
        <f t="shared" si="0"/>
        <v>41582.160000000003</v>
      </c>
      <c r="E8" s="249">
        <f>1535.89-25.602-69.97+70.34+12.71</f>
        <v>1523.3679999999999</v>
      </c>
      <c r="H8" s="266">
        <f>SUM(D8:D13)</f>
        <v>64387.56</v>
      </c>
    </row>
    <row r="9" spans="1:8" ht="29.25" customHeight="1" x14ac:dyDescent="0.35">
      <c r="A9" s="253">
        <v>2</v>
      </c>
      <c r="B9" s="252" t="s">
        <v>445</v>
      </c>
      <c r="C9" s="238">
        <f>(28*1800000*6)+(28*2340000*6)</f>
        <v>695520000</v>
      </c>
      <c r="D9" s="233">
        <f t="shared" si="0"/>
        <v>695.52</v>
      </c>
      <c r="E9" s="247">
        <f>29+0.45</f>
        <v>29.45</v>
      </c>
    </row>
    <row r="10" spans="1:8" ht="29.25" customHeight="1" x14ac:dyDescent="0.35">
      <c r="A10" s="239">
        <v>3</v>
      </c>
      <c r="B10" s="252" t="s">
        <v>444</v>
      </c>
      <c r="C10" s="238">
        <f>(1*1800000*6)+(1*2340000*6)</f>
        <v>24840000</v>
      </c>
      <c r="D10" s="233">
        <f t="shared" si="0"/>
        <v>24.84</v>
      </c>
      <c r="E10" s="254"/>
    </row>
    <row r="11" spans="1:8" ht="29.25" customHeight="1" x14ac:dyDescent="0.35">
      <c r="A11" s="253">
        <v>4</v>
      </c>
      <c r="B11" s="252" t="s">
        <v>443</v>
      </c>
      <c r="C11" s="238">
        <f>(339*1800000*6)+(339*2340000*6)</f>
        <v>8420760000</v>
      </c>
      <c r="D11" s="233">
        <f t="shared" si="0"/>
        <v>8420.76</v>
      </c>
      <c r="E11" s="254"/>
    </row>
    <row r="12" spans="1:8" ht="29.25" customHeight="1" x14ac:dyDescent="0.35">
      <c r="A12" s="239">
        <v>5</v>
      </c>
      <c r="B12" s="252" t="s">
        <v>442</v>
      </c>
      <c r="C12" s="238">
        <f>(167*1800000*6)+(167*2340000*6)</f>
        <v>4148280000</v>
      </c>
      <c r="D12" s="233">
        <f t="shared" si="0"/>
        <v>4148.28</v>
      </c>
      <c r="E12" s="254"/>
    </row>
    <row r="13" spans="1:8" ht="29.25" customHeight="1" x14ac:dyDescent="0.35">
      <c r="A13" s="239">
        <v>6</v>
      </c>
      <c r="B13" s="237" t="s">
        <v>439</v>
      </c>
      <c r="C13" s="238">
        <f>(607000000+51000000+135000000)*12</f>
        <v>9516000000</v>
      </c>
      <c r="D13" s="233">
        <f t="shared" si="0"/>
        <v>9516</v>
      </c>
      <c r="E13" s="259"/>
    </row>
    <row r="14" spans="1:8" ht="29.25" customHeight="1" x14ac:dyDescent="0.35">
      <c r="A14" s="239">
        <v>7</v>
      </c>
      <c r="B14" s="243" t="s">
        <v>437</v>
      </c>
      <c r="C14" s="244">
        <f>(C8+C9+C10+C12+C13)*23.5%</f>
        <v>13152198000</v>
      </c>
      <c r="D14" s="233">
        <f t="shared" si="0"/>
        <v>13152.198</v>
      </c>
      <c r="E14" s="251"/>
    </row>
    <row r="15" spans="1:8" ht="29.25" customHeight="1" x14ac:dyDescent="0.35">
      <c r="A15" s="14" t="s">
        <v>81</v>
      </c>
      <c r="B15" s="235" t="s">
        <v>436</v>
      </c>
      <c r="C15" s="233">
        <f>C16+C17+C18+C21+C22</f>
        <v>77785354080</v>
      </c>
      <c r="D15" s="233">
        <f t="shared" si="0"/>
        <v>77785.354080000005</v>
      </c>
      <c r="E15" s="250"/>
      <c r="G15" s="266">
        <f>D15-D20</f>
        <v>68148.034080000012</v>
      </c>
    </row>
    <row r="16" spans="1:8" ht="29.25" customHeight="1" x14ac:dyDescent="0.35">
      <c r="A16" s="240">
        <v>1</v>
      </c>
      <c r="B16" s="255" t="s">
        <v>435</v>
      </c>
      <c r="C16" s="241">
        <f>3500000000*12</f>
        <v>42000000000</v>
      </c>
      <c r="D16" s="233">
        <f t="shared" si="0"/>
        <v>42000</v>
      </c>
      <c r="E16" s="249"/>
    </row>
    <row r="17" spans="1:5" ht="29.25" customHeight="1" x14ac:dyDescent="0.35">
      <c r="A17" s="239">
        <v>2</v>
      </c>
      <c r="B17" s="252" t="s">
        <v>434</v>
      </c>
      <c r="C17" s="238">
        <f>((4375000*4)+(5250000*22)+(7000000*20)+(10500000*25)+(14000000*3)+(21000*2))*12</f>
        <v>6930504000</v>
      </c>
      <c r="D17" s="233">
        <f t="shared" si="0"/>
        <v>6930.5039999999999</v>
      </c>
      <c r="E17" s="254"/>
    </row>
    <row r="18" spans="1:5" ht="29.25" customHeight="1" x14ac:dyDescent="0.35">
      <c r="A18" s="239">
        <v>3</v>
      </c>
      <c r="B18" s="252" t="s">
        <v>433</v>
      </c>
      <c r="C18" s="238">
        <f>C19+C20</f>
        <v>17522400000</v>
      </c>
      <c r="D18" s="233">
        <f t="shared" si="0"/>
        <v>17522.400000000001</v>
      </c>
      <c r="E18" s="247"/>
    </row>
    <row r="19" spans="1:5" ht="29.25" customHeight="1" x14ac:dyDescent="0.35">
      <c r="A19" s="253" t="s">
        <v>431</v>
      </c>
      <c r="B19" s="252" t="s">
        <v>432</v>
      </c>
      <c r="C19" s="238">
        <v>7885080000</v>
      </c>
      <c r="D19" s="233">
        <f t="shared" si="0"/>
        <v>7885.08</v>
      </c>
      <c r="E19" s="247"/>
    </row>
    <row r="20" spans="1:5" ht="29.25" customHeight="1" x14ac:dyDescent="0.35">
      <c r="A20" s="253" t="s">
        <v>431</v>
      </c>
      <c r="B20" s="252" t="s">
        <v>430</v>
      </c>
      <c r="C20" s="238">
        <v>9637320000</v>
      </c>
      <c r="D20" s="233">
        <f t="shared" si="0"/>
        <v>9637.32</v>
      </c>
      <c r="E20" s="237" t="s">
        <v>429</v>
      </c>
    </row>
    <row r="21" spans="1:5" ht="29.25" customHeight="1" x14ac:dyDescent="0.35">
      <c r="A21" s="239">
        <v>2</v>
      </c>
      <c r="B21" s="252" t="s">
        <v>428</v>
      </c>
      <c r="C21" s="238">
        <f>((74.13+(199.14*17%))*1800000*12)</f>
        <v>2332450080</v>
      </c>
      <c r="D21" s="233">
        <f t="shared" si="0"/>
        <v>2332.4500800000001</v>
      </c>
      <c r="E21" s="247">
        <f>62.2+2.161</f>
        <v>64.361000000000004</v>
      </c>
    </row>
    <row r="22" spans="1:5" ht="29.25" customHeight="1" x14ac:dyDescent="0.35">
      <c r="A22" s="246">
        <v>3</v>
      </c>
      <c r="B22" s="243" t="s">
        <v>427</v>
      </c>
      <c r="C22" s="244">
        <v>9000000000</v>
      </c>
      <c r="D22" s="233">
        <f t="shared" si="0"/>
        <v>9000</v>
      </c>
      <c r="E22" s="251"/>
    </row>
    <row r="23" spans="1:5" ht="29.25" customHeight="1" x14ac:dyDescent="0.35">
      <c r="A23" s="14" t="s">
        <v>117</v>
      </c>
      <c r="B23" s="235" t="s">
        <v>426</v>
      </c>
      <c r="C23" s="233">
        <f>SUM(C24:C27)</f>
        <v>8556000000</v>
      </c>
      <c r="D23" s="233">
        <f t="shared" si="0"/>
        <v>8556</v>
      </c>
      <c r="E23" s="250"/>
    </row>
    <row r="24" spans="1:5" ht="29.25" customHeight="1" x14ac:dyDescent="0.35">
      <c r="A24" s="240">
        <v>1</v>
      </c>
      <c r="B24" s="242" t="s">
        <v>425</v>
      </c>
      <c r="C24" s="241">
        <f>730000*12*600</f>
        <v>5256000000</v>
      </c>
      <c r="D24" s="233">
        <f t="shared" si="0"/>
        <v>5256</v>
      </c>
      <c r="E24" s="249"/>
    </row>
    <row r="25" spans="1:5" ht="29.25" customHeight="1" x14ac:dyDescent="0.35">
      <c r="A25" s="239">
        <v>2</v>
      </c>
      <c r="B25" s="237" t="s">
        <v>424</v>
      </c>
      <c r="C25" s="238">
        <f>5000000*600</f>
        <v>3000000000</v>
      </c>
      <c r="D25" s="233">
        <f t="shared" si="0"/>
        <v>3000</v>
      </c>
      <c r="E25" s="247"/>
    </row>
    <row r="26" spans="1:5" ht="38.25" customHeight="1" x14ac:dyDescent="0.35">
      <c r="A26" s="239">
        <v>4</v>
      </c>
      <c r="B26" s="248" t="s">
        <v>423</v>
      </c>
      <c r="C26" s="238">
        <v>200000000</v>
      </c>
      <c r="D26" s="233">
        <f t="shared" si="0"/>
        <v>200</v>
      </c>
      <c r="E26" s="247"/>
    </row>
    <row r="27" spans="1:5" ht="29.25" customHeight="1" x14ac:dyDescent="0.35">
      <c r="A27" s="246">
        <v>5</v>
      </c>
      <c r="B27" s="245" t="s">
        <v>422</v>
      </c>
      <c r="C27" s="244">
        <v>100000000</v>
      </c>
      <c r="D27" s="233">
        <f t="shared" si="0"/>
        <v>100</v>
      </c>
      <c r="E27" s="243"/>
    </row>
    <row r="28" spans="1:5" ht="29.25" customHeight="1" x14ac:dyDescent="0.35">
      <c r="A28" s="14" t="s">
        <v>391</v>
      </c>
      <c r="B28" s="235" t="s">
        <v>421</v>
      </c>
      <c r="C28" s="233">
        <f>SUM(C29:C31)</f>
        <v>19350000000</v>
      </c>
      <c r="D28" s="233">
        <f t="shared" si="0"/>
        <v>19350</v>
      </c>
      <c r="E28" s="150"/>
    </row>
    <row r="29" spans="1:5" ht="29.25" customHeight="1" x14ac:dyDescent="0.35">
      <c r="A29" s="240">
        <v>1</v>
      </c>
      <c r="B29" s="242" t="s">
        <v>420</v>
      </c>
      <c r="C29" s="241">
        <f>30000000*550</f>
        <v>16500000000</v>
      </c>
      <c r="D29" s="233">
        <f t="shared" si="0"/>
        <v>16500</v>
      </c>
      <c r="E29" s="240"/>
    </row>
    <row r="30" spans="1:5" ht="29.25" customHeight="1" x14ac:dyDescent="0.35">
      <c r="A30" s="239">
        <v>2</v>
      </c>
      <c r="B30" s="237" t="s">
        <v>419</v>
      </c>
      <c r="C30" s="238">
        <v>100000000</v>
      </c>
      <c r="D30" s="233">
        <f t="shared" si="0"/>
        <v>100</v>
      </c>
      <c r="E30" s="237"/>
    </row>
    <row r="31" spans="1:5" ht="29.25" customHeight="1" x14ac:dyDescent="0.35">
      <c r="A31" s="239">
        <v>3</v>
      </c>
      <c r="B31" s="237" t="s">
        <v>418</v>
      </c>
      <c r="C31" s="238">
        <f>550*5000000</f>
        <v>2750000000</v>
      </c>
      <c r="D31" s="233">
        <f t="shared" si="0"/>
        <v>2750</v>
      </c>
      <c r="E31" s="237"/>
    </row>
    <row r="32" spans="1:5" ht="29.25" customHeight="1" x14ac:dyDescent="0.35">
      <c r="A32" s="14" t="s">
        <v>399</v>
      </c>
      <c r="B32" s="235" t="s">
        <v>417</v>
      </c>
      <c r="C32" s="236">
        <v>1500000000</v>
      </c>
      <c r="D32" s="233">
        <f t="shared" si="0"/>
        <v>1500</v>
      </c>
      <c r="E32" s="150"/>
    </row>
    <row r="33" spans="1:5" ht="29.25" customHeight="1" x14ac:dyDescent="0.35">
      <c r="A33" s="14" t="s">
        <v>403</v>
      </c>
      <c r="B33" s="235" t="s">
        <v>416</v>
      </c>
      <c r="C33" s="150"/>
      <c r="D33" s="233">
        <f t="shared" si="0"/>
        <v>0</v>
      </c>
      <c r="E33" s="150"/>
    </row>
    <row r="34" spans="1:5" ht="29.25" customHeight="1" x14ac:dyDescent="0.35">
      <c r="A34" s="20"/>
      <c r="B34" s="150" t="s">
        <v>415</v>
      </c>
      <c r="C34" s="150"/>
      <c r="D34" s="233">
        <f t="shared" si="0"/>
        <v>0</v>
      </c>
      <c r="E34" s="150"/>
    </row>
    <row r="35" spans="1:5" ht="29.25" customHeight="1" x14ac:dyDescent="0.35">
      <c r="A35" s="20"/>
      <c r="B35" s="14" t="s">
        <v>414</v>
      </c>
      <c r="C35" s="234">
        <f>C7+C15+C23+C28+C32</f>
        <v>184731112080</v>
      </c>
      <c r="D35" s="233">
        <f t="shared" si="0"/>
        <v>184731.11207999999</v>
      </c>
      <c r="E35" s="150"/>
    </row>
    <row r="36" spans="1:5" x14ac:dyDescent="0.35">
      <c r="A36" s="38"/>
      <c r="B36" s="10"/>
      <c r="C36" s="10"/>
      <c r="D36" s="10"/>
    </row>
    <row r="37" spans="1:5" x14ac:dyDescent="0.35">
      <c r="A37" s="38"/>
      <c r="B37" s="10"/>
      <c r="C37" s="714" t="s">
        <v>413</v>
      </c>
      <c r="D37" s="714"/>
      <c r="E37" s="714"/>
    </row>
    <row r="38" spans="1:5" x14ac:dyDescent="0.35">
      <c r="A38" s="38"/>
      <c r="B38" s="40" t="s">
        <v>88</v>
      </c>
      <c r="C38" s="715" t="s">
        <v>89</v>
      </c>
      <c r="D38" s="715"/>
      <c r="E38" s="715"/>
    </row>
    <row r="39" spans="1:5" x14ac:dyDescent="0.35">
      <c r="A39" s="232"/>
      <c r="B39" s="40"/>
      <c r="C39" s="76"/>
      <c r="D39" s="76"/>
    </row>
    <row r="40" spans="1:5" x14ac:dyDescent="0.35">
      <c r="A40" s="38"/>
      <c r="B40" s="10"/>
      <c r="C40" s="10"/>
      <c r="D40" s="10"/>
    </row>
    <row r="41" spans="1:5" x14ac:dyDescent="0.35">
      <c r="A41" s="38"/>
      <c r="B41" s="10"/>
      <c r="C41" s="10"/>
      <c r="D41" s="10"/>
    </row>
    <row r="42" spans="1:5" x14ac:dyDescent="0.35">
      <c r="A42" s="38"/>
      <c r="B42" s="10"/>
      <c r="C42" s="10"/>
      <c r="D42" s="10"/>
    </row>
    <row r="43" spans="1:5" x14ac:dyDescent="0.35">
      <c r="B43" s="231"/>
      <c r="C43" s="231"/>
      <c r="D43" s="231"/>
      <c r="E43" s="231"/>
    </row>
    <row r="44" spans="1:5" x14ac:dyDescent="0.35">
      <c r="B44" s="230" t="s">
        <v>412</v>
      </c>
      <c r="C44" s="710" t="s">
        <v>411</v>
      </c>
      <c r="D44" s="710"/>
      <c r="E44" s="710"/>
    </row>
  </sheetData>
  <mergeCells count="6">
    <mergeCell ref="C44:E44"/>
    <mergeCell ref="A1:B1"/>
    <mergeCell ref="A2:B2"/>
    <mergeCell ref="A3:E3"/>
    <mergeCell ref="C37:E37"/>
    <mergeCell ref="C38:E38"/>
  </mergeCells>
  <pageMargins left="0.7" right="0.48" top="0.75" bottom="0.75" header="0.3" footer="0.3"/>
  <pageSetup paperSize="9" scale="67" fitToHeight="0" orientation="portrait" r:id="rId1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</sheetPr>
  <dimension ref="A1:L104"/>
  <sheetViews>
    <sheetView zoomScaleNormal="100" workbookViewId="0">
      <selection activeCell="B13" sqref="B13"/>
    </sheetView>
  </sheetViews>
  <sheetFormatPr defaultRowHeight="15.5" x14ac:dyDescent="0.35"/>
  <cols>
    <col min="1" max="1" width="7.36328125" style="38" customWidth="1"/>
    <col min="2" max="2" width="38.453125" style="10" customWidth="1"/>
    <col min="3" max="3" width="11.6328125" style="10" customWidth="1"/>
    <col min="4" max="4" width="21.36328125" style="10" hidden="1" customWidth="1"/>
    <col min="5" max="5" width="13.08984375" style="10" customWidth="1"/>
    <col min="6" max="6" width="26.36328125" style="10" customWidth="1"/>
    <col min="7" max="7" width="17.54296875" style="39" customWidth="1"/>
    <col min="8" max="8" width="15.36328125" style="38" customWidth="1"/>
    <col min="9" max="9" width="16.08984375" style="10" customWidth="1"/>
    <col min="10" max="10" width="9.08984375" style="10"/>
    <col min="11" max="11" width="17.54296875" style="10" bestFit="1" customWidth="1"/>
    <col min="12" max="12" width="14.54296875" style="10" bestFit="1" customWidth="1"/>
    <col min="13" max="256" width="9.08984375" style="10"/>
    <col min="257" max="257" width="7.36328125" style="10" customWidth="1"/>
    <col min="258" max="258" width="38.453125" style="10" customWidth="1"/>
    <col min="259" max="259" width="13.453125" style="10" bestFit="1" customWidth="1"/>
    <col min="260" max="260" width="0" style="10" hidden="1" customWidth="1"/>
    <col min="261" max="261" width="16.6328125" style="10" customWidth="1"/>
    <col min="262" max="262" width="33.90625" style="10" customWidth="1"/>
    <col min="263" max="263" width="22.90625" style="10" customWidth="1"/>
    <col min="264" max="264" width="15.54296875" style="10" bestFit="1" customWidth="1"/>
    <col min="265" max="265" width="16.36328125" style="10" customWidth="1"/>
    <col min="266" max="266" width="9.08984375" style="10"/>
    <col min="267" max="267" width="17.54296875" style="10" bestFit="1" customWidth="1"/>
    <col min="268" max="268" width="14.54296875" style="10" bestFit="1" customWidth="1"/>
    <col min="269" max="512" width="9.08984375" style="10"/>
    <col min="513" max="513" width="7.36328125" style="10" customWidth="1"/>
    <col min="514" max="514" width="38.453125" style="10" customWidth="1"/>
    <col min="515" max="515" width="13.453125" style="10" bestFit="1" customWidth="1"/>
    <col min="516" max="516" width="0" style="10" hidden="1" customWidth="1"/>
    <col min="517" max="517" width="16.6328125" style="10" customWidth="1"/>
    <col min="518" max="518" width="33.90625" style="10" customWidth="1"/>
    <col min="519" max="519" width="22.90625" style="10" customWidth="1"/>
    <col min="520" max="520" width="15.54296875" style="10" bestFit="1" customWidth="1"/>
    <col min="521" max="521" width="16.36328125" style="10" customWidth="1"/>
    <col min="522" max="522" width="9.08984375" style="10"/>
    <col min="523" max="523" width="17.54296875" style="10" bestFit="1" customWidth="1"/>
    <col min="524" max="524" width="14.54296875" style="10" bestFit="1" customWidth="1"/>
    <col min="525" max="768" width="9.08984375" style="10"/>
    <col min="769" max="769" width="7.36328125" style="10" customWidth="1"/>
    <col min="770" max="770" width="38.453125" style="10" customWidth="1"/>
    <col min="771" max="771" width="13.453125" style="10" bestFit="1" customWidth="1"/>
    <col min="772" max="772" width="0" style="10" hidden="1" customWidth="1"/>
    <col min="773" max="773" width="16.6328125" style="10" customWidth="1"/>
    <col min="774" max="774" width="33.90625" style="10" customWidth="1"/>
    <col min="775" max="775" width="22.90625" style="10" customWidth="1"/>
    <col min="776" max="776" width="15.54296875" style="10" bestFit="1" customWidth="1"/>
    <col min="777" max="777" width="16.36328125" style="10" customWidth="1"/>
    <col min="778" max="778" width="9.08984375" style="10"/>
    <col min="779" max="779" width="17.54296875" style="10" bestFit="1" customWidth="1"/>
    <col min="780" max="780" width="14.54296875" style="10" bestFit="1" customWidth="1"/>
    <col min="781" max="1024" width="9.08984375" style="10"/>
    <col min="1025" max="1025" width="7.36328125" style="10" customWidth="1"/>
    <col min="1026" max="1026" width="38.453125" style="10" customWidth="1"/>
    <col min="1027" max="1027" width="13.453125" style="10" bestFit="1" customWidth="1"/>
    <col min="1028" max="1028" width="0" style="10" hidden="1" customWidth="1"/>
    <col min="1029" max="1029" width="16.6328125" style="10" customWidth="1"/>
    <col min="1030" max="1030" width="33.90625" style="10" customWidth="1"/>
    <col min="1031" max="1031" width="22.90625" style="10" customWidth="1"/>
    <col min="1032" max="1032" width="15.54296875" style="10" bestFit="1" customWidth="1"/>
    <col min="1033" max="1033" width="16.36328125" style="10" customWidth="1"/>
    <col min="1034" max="1034" width="9.08984375" style="10"/>
    <col min="1035" max="1035" width="17.54296875" style="10" bestFit="1" customWidth="1"/>
    <col min="1036" max="1036" width="14.54296875" style="10" bestFit="1" customWidth="1"/>
    <col min="1037" max="1280" width="9.08984375" style="10"/>
    <col min="1281" max="1281" width="7.36328125" style="10" customWidth="1"/>
    <col min="1282" max="1282" width="38.453125" style="10" customWidth="1"/>
    <col min="1283" max="1283" width="13.453125" style="10" bestFit="1" customWidth="1"/>
    <col min="1284" max="1284" width="0" style="10" hidden="1" customWidth="1"/>
    <col min="1285" max="1285" width="16.6328125" style="10" customWidth="1"/>
    <col min="1286" max="1286" width="33.90625" style="10" customWidth="1"/>
    <col min="1287" max="1287" width="22.90625" style="10" customWidth="1"/>
    <col min="1288" max="1288" width="15.54296875" style="10" bestFit="1" customWidth="1"/>
    <col min="1289" max="1289" width="16.36328125" style="10" customWidth="1"/>
    <col min="1290" max="1290" width="9.08984375" style="10"/>
    <col min="1291" max="1291" width="17.54296875" style="10" bestFit="1" customWidth="1"/>
    <col min="1292" max="1292" width="14.54296875" style="10" bestFit="1" customWidth="1"/>
    <col min="1293" max="1536" width="9.08984375" style="10"/>
    <col min="1537" max="1537" width="7.36328125" style="10" customWidth="1"/>
    <col min="1538" max="1538" width="38.453125" style="10" customWidth="1"/>
    <col min="1539" max="1539" width="13.453125" style="10" bestFit="1" customWidth="1"/>
    <col min="1540" max="1540" width="0" style="10" hidden="1" customWidth="1"/>
    <col min="1541" max="1541" width="16.6328125" style="10" customWidth="1"/>
    <col min="1542" max="1542" width="33.90625" style="10" customWidth="1"/>
    <col min="1543" max="1543" width="22.90625" style="10" customWidth="1"/>
    <col min="1544" max="1544" width="15.54296875" style="10" bestFit="1" customWidth="1"/>
    <col min="1545" max="1545" width="16.36328125" style="10" customWidth="1"/>
    <col min="1546" max="1546" width="9.08984375" style="10"/>
    <col min="1547" max="1547" width="17.54296875" style="10" bestFit="1" customWidth="1"/>
    <col min="1548" max="1548" width="14.54296875" style="10" bestFit="1" customWidth="1"/>
    <col min="1549" max="1792" width="9.08984375" style="10"/>
    <col min="1793" max="1793" width="7.36328125" style="10" customWidth="1"/>
    <col min="1794" max="1794" width="38.453125" style="10" customWidth="1"/>
    <col min="1795" max="1795" width="13.453125" style="10" bestFit="1" customWidth="1"/>
    <col min="1796" max="1796" width="0" style="10" hidden="1" customWidth="1"/>
    <col min="1797" max="1797" width="16.6328125" style="10" customWidth="1"/>
    <col min="1798" max="1798" width="33.90625" style="10" customWidth="1"/>
    <col min="1799" max="1799" width="22.90625" style="10" customWidth="1"/>
    <col min="1800" max="1800" width="15.54296875" style="10" bestFit="1" customWidth="1"/>
    <col min="1801" max="1801" width="16.36328125" style="10" customWidth="1"/>
    <col min="1802" max="1802" width="9.08984375" style="10"/>
    <col min="1803" max="1803" width="17.54296875" style="10" bestFit="1" customWidth="1"/>
    <col min="1804" max="1804" width="14.54296875" style="10" bestFit="1" customWidth="1"/>
    <col min="1805" max="2048" width="9.08984375" style="10"/>
    <col min="2049" max="2049" width="7.36328125" style="10" customWidth="1"/>
    <col min="2050" max="2050" width="38.453125" style="10" customWidth="1"/>
    <col min="2051" max="2051" width="13.453125" style="10" bestFit="1" customWidth="1"/>
    <col min="2052" max="2052" width="0" style="10" hidden="1" customWidth="1"/>
    <col min="2053" max="2053" width="16.6328125" style="10" customWidth="1"/>
    <col min="2054" max="2054" width="33.90625" style="10" customWidth="1"/>
    <col min="2055" max="2055" width="22.90625" style="10" customWidth="1"/>
    <col min="2056" max="2056" width="15.54296875" style="10" bestFit="1" customWidth="1"/>
    <col min="2057" max="2057" width="16.36328125" style="10" customWidth="1"/>
    <col min="2058" max="2058" width="9.08984375" style="10"/>
    <col min="2059" max="2059" width="17.54296875" style="10" bestFit="1" customWidth="1"/>
    <col min="2060" max="2060" width="14.54296875" style="10" bestFit="1" customWidth="1"/>
    <col min="2061" max="2304" width="9.08984375" style="10"/>
    <col min="2305" max="2305" width="7.36328125" style="10" customWidth="1"/>
    <col min="2306" max="2306" width="38.453125" style="10" customWidth="1"/>
    <col min="2307" max="2307" width="13.453125" style="10" bestFit="1" customWidth="1"/>
    <col min="2308" max="2308" width="0" style="10" hidden="1" customWidth="1"/>
    <col min="2309" max="2309" width="16.6328125" style="10" customWidth="1"/>
    <col min="2310" max="2310" width="33.90625" style="10" customWidth="1"/>
    <col min="2311" max="2311" width="22.90625" style="10" customWidth="1"/>
    <col min="2312" max="2312" width="15.54296875" style="10" bestFit="1" customWidth="1"/>
    <col min="2313" max="2313" width="16.36328125" style="10" customWidth="1"/>
    <col min="2314" max="2314" width="9.08984375" style="10"/>
    <col min="2315" max="2315" width="17.54296875" style="10" bestFit="1" customWidth="1"/>
    <col min="2316" max="2316" width="14.54296875" style="10" bestFit="1" customWidth="1"/>
    <col min="2317" max="2560" width="9.08984375" style="10"/>
    <col min="2561" max="2561" width="7.36328125" style="10" customWidth="1"/>
    <col min="2562" max="2562" width="38.453125" style="10" customWidth="1"/>
    <col min="2563" max="2563" width="13.453125" style="10" bestFit="1" customWidth="1"/>
    <col min="2564" max="2564" width="0" style="10" hidden="1" customWidth="1"/>
    <col min="2565" max="2565" width="16.6328125" style="10" customWidth="1"/>
    <col min="2566" max="2566" width="33.90625" style="10" customWidth="1"/>
    <col min="2567" max="2567" width="22.90625" style="10" customWidth="1"/>
    <col min="2568" max="2568" width="15.54296875" style="10" bestFit="1" customWidth="1"/>
    <col min="2569" max="2569" width="16.36328125" style="10" customWidth="1"/>
    <col min="2570" max="2570" width="9.08984375" style="10"/>
    <col min="2571" max="2571" width="17.54296875" style="10" bestFit="1" customWidth="1"/>
    <col min="2572" max="2572" width="14.54296875" style="10" bestFit="1" customWidth="1"/>
    <col min="2573" max="2816" width="9.08984375" style="10"/>
    <col min="2817" max="2817" width="7.36328125" style="10" customWidth="1"/>
    <col min="2818" max="2818" width="38.453125" style="10" customWidth="1"/>
    <col min="2819" max="2819" width="13.453125" style="10" bestFit="1" customWidth="1"/>
    <col min="2820" max="2820" width="0" style="10" hidden="1" customWidth="1"/>
    <col min="2821" max="2821" width="16.6328125" style="10" customWidth="1"/>
    <col min="2822" max="2822" width="33.90625" style="10" customWidth="1"/>
    <col min="2823" max="2823" width="22.90625" style="10" customWidth="1"/>
    <col min="2824" max="2824" width="15.54296875" style="10" bestFit="1" customWidth="1"/>
    <col min="2825" max="2825" width="16.36328125" style="10" customWidth="1"/>
    <col min="2826" max="2826" width="9.08984375" style="10"/>
    <col min="2827" max="2827" width="17.54296875" style="10" bestFit="1" customWidth="1"/>
    <col min="2828" max="2828" width="14.54296875" style="10" bestFit="1" customWidth="1"/>
    <col min="2829" max="3072" width="9.08984375" style="10"/>
    <col min="3073" max="3073" width="7.36328125" style="10" customWidth="1"/>
    <col min="3074" max="3074" width="38.453125" style="10" customWidth="1"/>
    <col min="3075" max="3075" width="13.453125" style="10" bestFit="1" customWidth="1"/>
    <col min="3076" max="3076" width="0" style="10" hidden="1" customWidth="1"/>
    <col min="3077" max="3077" width="16.6328125" style="10" customWidth="1"/>
    <col min="3078" max="3078" width="33.90625" style="10" customWidth="1"/>
    <col min="3079" max="3079" width="22.90625" style="10" customWidth="1"/>
    <col min="3080" max="3080" width="15.54296875" style="10" bestFit="1" customWidth="1"/>
    <col min="3081" max="3081" width="16.36328125" style="10" customWidth="1"/>
    <col min="3082" max="3082" width="9.08984375" style="10"/>
    <col min="3083" max="3083" width="17.54296875" style="10" bestFit="1" customWidth="1"/>
    <col min="3084" max="3084" width="14.54296875" style="10" bestFit="1" customWidth="1"/>
    <col min="3085" max="3328" width="9.08984375" style="10"/>
    <col min="3329" max="3329" width="7.36328125" style="10" customWidth="1"/>
    <col min="3330" max="3330" width="38.453125" style="10" customWidth="1"/>
    <col min="3331" max="3331" width="13.453125" style="10" bestFit="1" customWidth="1"/>
    <col min="3332" max="3332" width="0" style="10" hidden="1" customWidth="1"/>
    <col min="3333" max="3333" width="16.6328125" style="10" customWidth="1"/>
    <col min="3334" max="3334" width="33.90625" style="10" customWidth="1"/>
    <col min="3335" max="3335" width="22.90625" style="10" customWidth="1"/>
    <col min="3336" max="3336" width="15.54296875" style="10" bestFit="1" customWidth="1"/>
    <col min="3337" max="3337" width="16.36328125" style="10" customWidth="1"/>
    <col min="3338" max="3338" width="9.08984375" style="10"/>
    <col min="3339" max="3339" width="17.54296875" style="10" bestFit="1" customWidth="1"/>
    <col min="3340" max="3340" width="14.54296875" style="10" bestFit="1" customWidth="1"/>
    <col min="3341" max="3584" width="9.08984375" style="10"/>
    <col min="3585" max="3585" width="7.36328125" style="10" customWidth="1"/>
    <col min="3586" max="3586" width="38.453125" style="10" customWidth="1"/>
    <col min="3587" max="3587" width="13.453125" style="10" bestFit="1" customWidth="1"/>
    <col min="3588" max="3588" width="0" style="10" hidden="1" customWidth="1"/>
    <col min="3589" max="3589" width="16.6328125" style="10" customWidth="1"/>
    <col min="3590" max="3590" width="33.90625" style="10" customWidth="1"/>
    <col min="3591" max="3591" width="22.90625" style="10" customWidth="1"/>
    <col min="3592" max="3592" width="15.54296875" style="10" bestFit="1" customWidth="1"/>
    <col min="3593" max="3593" width="16.36328125" style="10" customWidth="1"/>
    <col min="3594" max="3594" width="9.08984375" style="10"/>
    <col min="3595" max="3595" width="17.54296875" style="10" bestFit="1" customWidth="1"/>
    <col min="3596" max="3596" width="14.54296875" style="10" bestFit="1" customWidth="1"/>
    <col min="3597" max="3840" width="9.08984375" style="10"/>
    <col min="3841" max="3841" width="7.36328125" style="10" customWidth="1"/>
    <col min="3842" max="3842" width="38.453125" style="10" customWidth="1"/>
    <col min="3843" max="3843" width="13.453125" style="10" bestFit="1" customWidth="1"/>
    <col min="3844" max="3844" width="0" style="10" hidden="1" customWidth="1"/>
    <col min="3845" max="3845" width="16.6328125" style="10" customWidth="1"/>
    <col min="3846" max="3846" width="33.90625" style="10" customWidth="1"/>
    <col min="3847" max="3847" width="22.90625" style="10" customWidth="1"/>
    <col min="3848" max="3848" width="15.54296875" style="10" bestFit="1" customWidth="1"/>
    <col min="3849" max="3849" width="16.36328125" style="10" customWidth="1"/>
    <col min="3850" max="3850" width="9.08984375" style="10"/>
    <col min="3851" max="3851" width="17.54296875" style="10" bestFit="1" customWidth="1"/>
    <col min="3852" max="3852" width="14.54296875" style="10" bestFit="1" customWidth="1"/>
    <col min="3853" max="4096" width="9.08984375" style="10"/>
    <col min="4097" max="4097" width="7.36328125" style="10" customWidth="1"/>
    <col min="4098" max="4098" width="38.453125" style="10" customWidth="1"/>
    <col min="4099" max="4099" width="13.453125" style="10" bestFit="1" customWidth="1"/>
    <col min="4100" max="4100" width="0" style="10" hidden="1" customWidth="1"/>
    <col min="4101" max="4101" width="16.6328125" style="10" customWidth="1"/>
    <col min="4102" max="4102" width="33.90625" style="10" customWidth="1"/>
    <col min="4103" max="4103" width="22.90625" style="10" customWidth="1"/>
    <col min="4104" max="4104" width="15.54296875" style="10" bestFit="1" customWidth="1"/>
    <col min="4105" max="4105" width="16.36328125" style="10" customWidth="1"/>
    <col min="4106" max="4106" width="9.08984375" style="10"/>
    <col min="4107" max="4107" width="17.54296875" style="10" bestFit="1" customWidth="1"/>
    <col min="4108" max="4108" width="14.54296875" style="10" bestFit="1" customWidth="1"/>
    <col min="4109" max="4352" width="9.08984375" style="10"/>
    <col min="4353" max="4353" width="7.36328125" style="10" customWidth="1"/>
    <col min="4354" max="4354" width="38.453125" style="10" customWidth="1"/>
    <col min="4355" max="4355" width="13.453125" style="10" bestFit="1" customWidth="1"/>
    <col min="4356" max="4356" width="0" style="10" hidden="1" customWidth="1"/>
    <col min="4357" max="4357" width="16.6328125" style="10" customWidth="1"/>
    <col min="4358" max="4358" width="33.90625" style="10" customWidth="1"/>
    <col min="4359" max="4359" width="22.90625" style="10" customWidth="1"/>
    <col min="4360" max="4360" width="15.54296875" style="10" bestFit="1" customWidth="1"/>
    <col min="4361" max="4361" width="16.36328125" style="10" customWidth="1"/>
    <col min="4362" max="4362" width="9.08984375" style="10"/>
    <col min="4363" max="4363" width="17.54296875" style="10" bestFit="1" customWidth="1"/>
    <col min="4364" max="4364" width="14.54296875" style="10" bestFit="1" customWidth="1"/>
    <col min="4365" max="4608" width="9.08984375" style="10"/>
    <col min="4609" max="4609" width="7.36328125" style="10" customWidth="1"/>
    <col min="4610" max="4610" width="38.453125" style="10" customWidth="1"/>
    <col min="4611" max="4611" width="13.453125" style="10" bestFit="1" customWidth="1"/>
    <col min="4612" max="4612" width="0" style="10" hidden="1" customWidth="1"/>
    <col min="4613" max="4613" width="16.6328125" style="10" customWidth="1"/>
    <col min="4614" max="4614" width="33.90625" style="10" customWidth="1"/>
    <col min="4615" max="4615" width="22.90625" style="10" customWidth="1"/>
    <col min="4616" max="4616" width="15.54296875" style="10" bestFit="1" customWidth="1"/>
    <col min="4617" max="4617" width="16.36328125" style="10" customWidth="1"/>
    <col min="4618" max="4618" width="9.08984375" style="10"/>
    <col min="4619" max="4619" width="17.54296875" style="10" bestFit="1" customWidth="1"/>
    <col min="4620" max="4620" width="14.54296875" style="10" bestFit="1" customWidth="1"/>
    <col min="4621" max="4864" width="9.08984375" style="10"/>
    <col min="4865" max="4865" width="7.36328125" style="10" customWidth="1"/>
    <col min="4866" max="4866" width="38.453125" style="10" customWidth="1"/>
    <col min="4867" max="4867" width="13.453125" style="10" bestFit="1" customWidth="1"/>
    <col min="4868" max="4868" width="0" style="10" hidden="1" customWidth="1"/>
    <col min="4869" max="4869" width="16.6328125" style="10" customWidth="1"/>
    <col min="4870" max="4870" width="33.90625" style="10" customWidth="1"/>
    <col min="4871" max="4871" width="22.90625" style="10" customWidth="1"/>
    <col min="4872" max="4872" width="15.54296875" style="10" bestFit="1" customWidth="1"/>
    <col min="4873" max="4873" width="16.36328125" style="10" customWidth="1"/>
    <col min="4874" max="4874" width="9.08984375" style="10"/>
    <col min="4875" max="4875" width="17.54296875" style="10" bestFit="1" customWidth="1"/>
    <col min="4876" max="4876" width="14.54296875" style="10" bestFit="1" customWidth="1"/>
    <col min="4877" max="5120" width="9.08984375" style="10"/>
    <col min="5121" max="5121" width="7.36328125" style="10" customWidth="1"/>
    <col min="5122" max="5122" width="38.453125" style="10" customWidth="1"/>
    <col min="5123" max="5123" width="13.453125" style="10" bestFit="1" customWidth="1"/>
    <col min="5124" max="5124" width="0" style="10" hidden="1" customWidth="1"/>
    <col min="5125" max="5125" width="16.6328125" style="10" customWidth="1"/>
    <col min="5126" max="5126" width="33.90625" style="10" customWidth="1"/>
    <col min="5127" max="5127" width="22.90625" style="10" customWidth="1"/>
    <col min="5128" max="5128" width="15.54296875" style="10" bestFit="1" customWidth="1"/>
    <col min="5129" max="5129" width="16.36328125" style="10" customWidth="1"/>
    <col min="5130" max="5130" width="9.08984375" style="10"/>
    <col min="5131" max="5131" width="17.54296875" style="10" bestFit="1" customWidth="1"/>
    <col min="5132" max="5132" width="14.54296875" style="10" bestFit="1" customWidth="1"/>
    <col min="5133" max="5376" width="9.08984375" style="10"/>
    <col min="5377" max="5377" width="7.36328125" style="10" customWidth="1"/>
    <col min="5378" max="5378" width="38.453125" style="10" customWidth="1"/>
    <col min="5379" max="5379" width="13.453125" style="10" bestFit="1" customWidth="1"/>
    <col min="5380" max="5380" width="0" style="10" hidden="1" customWidth="1"/>
    <col min="5381" max="5381" width="16.6328125" style="10" customWidth="1"/>
    <col min="5382" max="5382" width="33.90625" style="10" customWidth="1"/>
    <col min="5383" max="5383" width="22.90625" style="10" customWidth="1"/>
    <col min="5384" max="5384" width="15.54296875" style="10" bestFit="1" customWidth="1"/>
    <col min="5385" max="5385" width="16.36328125" style="10" customWidth="1"/>
    <col min="5386" max="5386" width="9.08984375" style="10"/>
    <col min="5387" max="5387" width="17.54296875" style="10" bestFit="1" customWidth="1"/>
    <col min="5388" max="5388" width="14.54296875" style="10" bestFit="1" customWidth="1"/>
    <col min="5389" max="5632" width="9.08984375" style="10"/>
    <col min="5633" max="5633" width="7.36328125" style="10" customWidth="1"/>
    <col min="5634" max="5634" width="38.453125" style="10" customWidth="1"/>
    <col min="5635" max="5635" width="13.453125" style="10" bestFit="1" customWidth="1"/>
    <col min="5636" max="5636" width="0" style="10" hidden="1" customWidth="1"/>
    <col min="5637" max="5637" width="16.6328125" style="10" customWidth="1"/>
    <col min="5638" max="5638" width="33.90625" style="10" customWidth="1"/>
    <col min="5639" max="5639" width="22.90625" style="10" customWidth="1"/>
    <col min="5640" max="5640" width="15.54296875" style="10" bestFit="1" customWidth="1"/>
    <col min="5641" max="5641" width="16.36328125" style="10" customWidth="1"/>
    <col min="5642" max="5642" width="9.08984375" style="10"/>
    <col min="5643" max="5643" width="17.54296875" style="10" bestFit="1" customWidth="1"/>
    <col min="5644" max="5644" width="14.54296875" style="10" bestFit="1" customWidth="1"/>
    <col min="5645" max="5888" width="9.08984375" style="10"/>
    <col min="5889" max="5889" width="7.36328125" style="10" customWidth="1"/>
    <col min="5890" max="5890" width="38.453125" style="10" customWidth="1"/>
    <col min="5891" max="5891" width="13.453125" style="10" bestFit="1" customWidth="1"/>
    <col min="5892" max="5892" width="0" style="10" hidden="1" customWidth="1"/>
    <col min="5893" max="5893" width="16.6328125" style="10" customWidth="1"/>
    <col min="5894" max="5894" width="33.90625" style="10" customWidth="1"/>
    <col min="5895" max="5895" width="22.90625" style="10" customWidth="1"/>
    <col min="5896" max="5896" width="15.54296875" style="10" bestFit="1" customWidth="1"/>
    <col min="5897" max="5897" width="16.36328125" style="10" customWidth="1"/>
    <col min="5898" max="5898" width="9.08984375" style="10"/>
    <col min="5899" max="5899" width="17.54296875" style="10" bestFit="1" customWidth="1"/>
    <col min="5900" max="5900" width="14.54296875" style="10" bestFit="1" customWidth="1"/>
    <col min="5901" max="6144" width="9.08984375" style="10"/>
    <col min="6145" max="6145" width="7.36328125" style="10" customWidth="1"/>
    <col min="6146" max="6146" width="38.453125" style="10" customWidth="1"/>
    <col min="6147" max="6147" width="13.453125" style="10" bestFit="1" customWidth="1"/>
    <col min="6148" max="6148" width="0" style="10" hidden="1" customWidth="1"/>
    <col min="6149" max="6149" width="16.6328125" style="10" customWidth="1"/>
    <col min="6150" max="6150" width="33.90625" style="10" customWidth="1"/>
    <col min="6151" max="6151" width="22.90625" style="10" customWidth="1"/>
    <col min="6152" max="6152" width="15.54296875" style="10" bestFit="1" customWidth="1"/>
    <col min="6153" max="6153" width="16.36328125" style="10" customWidth="1"/>
    <col min="6154" max="6154" width="9.08984375" style="10"/>
    <col min="6155" max="6155" width="17.54296875" style="10" bestFit="1" customWidth="1"/>
    <col min="6156" max="6156" width="14.54296875" style="10" bestFit="1" customWidth="1"/>
    <col min="6157" max="6400" width="9.08984375" style="10"/>
    <col min="6401" max="6401" width="7.36328125" style="10" customWidth="1"/>
    <col min="6402" max="6402" width="38.453125" style="10" customWidth="1"/>
    <col min="6403" max="6403" width="13.453125" style="10" bestFit="1" customWidth="1"/>
    <col min="6404" max="6404" width="0" style="10" hidden="1" customWidth="1"/>
    <col min="6405" max="6405" width="16.6328125" style="10" customWidth="1"/>
    <col min="6406" max="6406" width="33.90625" style="10" customWidth="1"/>
    <col min="6407" max="6407" width="22.90625" style="10" customWidth="1"/>
    <col min="6408" max="6408" width="15.54296875" style="10" bestFit="1" customWidth="1"/>
    <col min="6409" max="6409" width="16.36328125" style="10" customWidth="1"/>
    <col min="6410" max="6410" width="9.08984375" style="10"/>
    <col min="6411" max="6411" width="17.54296875" style="10" bestFit="1" customWidth="1"/>
    <col min="6412" max="6412" width="14.54296875" style="10" bestFit="1" customWidth="1"/>
    <col min="6413" max="6656" width="9.08984375" style="10"/>
    <col min="6657" max="6657" width="7.36328125" style="10" customWidth="1"/>
    <col min="6658" max="6658" width="38.453125" style="10" customWidth="1"/>
    <col min="6659" max="6659" width="13.453125" style="10" bestFit="1" customWidth="1"/>
    <col min="6660" max="6660" width="0" style="10" hidden="1" customWidth="1"/>
    <col min="6661" max="6661" width="16.6328125" style="10" customWidth="1"/>
    <col min="6662" max="6662" width="33.90625" style="10" customWidth="1"/>
    <col min="6663" max="6663" width="22.90625" style="10" customWidth="1"/>
    <col min="6664" max="6664" width="15.54296875" style="10" bestFit="1" customWidth="1"/>
    <col min="6665" max="6665" width="16.36328125" style="10" customWidth="1"/>
    <col min="6666" max="6666" width="9.08984375" style="10"/>
    <col min="6667" max="6667" width="17.54296875" style="10" bestFit="1" customWidth="1"/>
    <col min="6668" max="6668" width="14.54296875" style="10" bestFit="1" customWidth="1"/>
    <col min="6669" max="6912" width="9.08984375" style="10"/>
    <col min="6913" max="6913" width="7.36328125" style="10" customWidth="1"/>
    <col min="6914" max="6914" width="38.453125" style="10" customWidth="1"/>
    <col min="6915" max="6915" width="13.453125" style="10" bestFit="1" customWidth="1"/>
    <col min="6916" max="6916" width="0" style="10" hidden="1" customWidth="1"/>
    <col min="6917" max="6917" width="16.6328125" style="10" customWidth="1"/>
    <col min="6918" max="6918" width="33.90625" style="10" customWidth="1"/>
    <col min="6919" max="6919" width="22.90625" style="10" customWidth="1"/>
    <col min="6920" max="6920" width="15.54296875" style="10" bestFit="1" customWidth="1"/>
    <col min="6921" max="6921" width="16.36328125" style="10" customWidth="1"/>
    <col min="6922" max="6922" width="9.08984375" style="10"/>
    <col min="6923" max="6923" width="17.54296875" style="10" bestFit="1" customWidth="1"/>
    <col min="6924" max="6924" width="14.54296875" style="10" bestFit="1" customWidth="1"/>
    <col min="6925" max="7168" width="9.08984375" style="10"/>
    <col min="7169" max="7169" width="7.36328125" style="10" customWidth="1"/>
    <col min="7170" max="7170" width="38.453125" style="10" customWidth="1"/>
    <col min="7171" max="7171" width="13.453125" style="10" bestFit="1" customWidth="1"/>
    <col min="7172" max="7172" width="0" style="10" hidden="1" customWidth="1"/>
    <col min="7173" max="7173" width="16.6328125" style="10" customWidth="1"/>
    <col min="7174" max="7174" width="33.90625" style="10" customWidth="1"/>
    <col min="7175" max="7175" width="22.90625" style="10" customWidth="1"/>
    <col min="7176" max="7176" width="15.54296875" style="10" bestFit="1" customWidth="1"/>
    <col min="7177" max="7177" width="16.36328125" style="10" customWidth="1"/>
    <col min="7178" max="7178" width="9.08984375" style="10"/>
    <col min="7179" max="7179" width="17.54296875" style="10" bestFit="1" customWidth="1"/>
    <col min="7180" max="7180" width="14.54296875" style="10" bestFit="1" customWidth="1"/>
    <col min="7181" max="7424" width="9.08984375" style="10"/>
    <col min="7425" max="7425" width="7.36328125" style="10" customWidth="1"/>
    <col min="7426" max="7426" width="38.453125" style="10" customWidth="1"/>
    <col min="7427" max="7427" width="13.453125" style="10" bestFit="1" customWidth="1"/>
    <col min="7428" max="7428" width="0" style="10" hidden="1" customWidth="1"/>
    <col min="7429" max="7429" width="16.6328125" style="10" customWidth="1"/>
    <col min="7430" max="7430" width="33.90625" style="10" customWidth="1"/>
    <col min="7431" max="7431" width="22.90625" style="10" customWidth="1"/>
    <col min="7432" max="7432" width="15.54296875" style="10" bestFit="1" customWidth="1"/>
    <col min="7433" max="7433" width="16.36328125" style="10" customWidth="1"/>
    <col min="7434" max="7434" width="9.08984375" style="10"/>
    <col min="7435" max="7435" width="17.54296875" style="10" bestFit="1" customWidth="1"/>
    <col min="7436" max="7436" width="14.54296875" style="10" bestFit="1" customWidth="1"/>
    <col min="7437" max="7680" width="9.08984375" style="10"/>
    <col min="7681" max="7681" width="7.36328125" style="10" customWidth="1"/>
    <col min="7682" max="7682" width="38.453125" style="10" customWidth="1"/>
    <col min="7683" max="7683" width="13.453125" style="10" bestFit="1" customWidth="1"/>
    <col min="7684" max="7684" width="0" style="10" hidden="1" customWidth="1"/>
    <col min="7685" max="7685" width="16.6328125" style="10" customWidth="1"/>
    <col min="7686" max="7686" width="33.90625" style="10" customWidth="1"/>
    <col min="7687" max="7687" width="22.90625" style="10" customWidth="1"/>
    <col min="7688" max="7688" width="15.54296875" style="10" bestFit="1" customWidth="1"/>
    <col min="7689" max="7689" width="16.36328125" style="10" customWidth="1"/>
    <col min="7690" max="7690" width="9.08984375" style="10"/>
    <col min="7691" max="7691" width="17.54296875" style="10" bestFit="1" customWidth="1"/>
    <col min="7692" max="7692" width="14.54296875" style="10" bestFit="1" customWidth="1"/>
    <col min="7693" max="7936" width="9.08984375" style="10"/>
    <col min="7937" max="7937" width="7.36328125" style="10" customWidth="1"/>
    <col min="7938" max="7938" width="38.453125" style="10" customWidth="1"/>
    <col min="7939" max="7939" width="13.453125" style="10" bestFit="1" customWidth="1"/>
    <col min="7940" max="7940" width="0" style="10" hidden="1" customWidth="1"/>
    <col min="7941" max="7941" width="16.6328125" style="10" customWidth="1"/>
    <col min="7942" max="7942" width="33.90625" style="10" customWidth="1"/>
    <col min="7943" max="7943" width="22.90625" style="10" customWidth="1"/>
    <col min="7944" max="7944" width="15.54296875" style="10" bestFit="1" customWidth="1"/>
    <col min="7945" max="7945" width="16.36328125" style="10" customWidth="1"/>
    <col min="7946" max="7946" width="9.08984375" style="10"/>
    <col min="7947" max="7947" width="17.54296875" style="10" bestFit="1" customWidth="1"/>
    <col min="7948" max="7948" width="14.54296875" style="10" bestFit="1" customWidth="1"/>
    <col min="7949" max="8192" width="9.08984375" style="10"/>
    <col min="8193" max="8193" width="7.36328125" style="10" customWidth="1"/>
    <col min="8194" max="8194" width="38.453125" style="10" customWidth="1"/>
    <col min="8195" max="8195" width="13.453125" style="10" bestFit="1" customWidth="1"/>
    <col min="8196" max="8196" width="0" style="10" hidden="1" customWidth="1"/>
    <col min="8197" max="8197" width="16.6328125" style="10" customWidth="1"/>
    <col min="8198" max="8198" width="33.90625" style="10" customWidth="1"/>
    <col min="8199" max="8199" width="22.90625" style="10" customWidth="1"/>
    <col min="8200" max="8200" width="15.54296875" style="10" bestFit="1" customWidth="1"/>
    <col min="8201" max="8201" width="16.36328125" style="10" customWidth="1"/>
    <col min="8202" max="8202" width="9.08984375" style="10"/>
    <col min="8203" max="8203" width="17.54296875" style="10" bestFit="1" customWidth="1"/>
    <col min="8204" max="8204" width="14.54296875" style="10" bestFit="1" customWidth="1"/>
    <col min="8205" max="8448" width="9.08984375" style="10"/>
    <col min="8449" max="8449" width="7.36328125" style="10" customWidth="1"/>
    <col min="8450" max="8450" width="38.453125" style="10" customWidth="1"/>
    <col min="8451" max="8451" width="13.453125" style="10" bestFit="1" customWidth="1"/>
    <col min="8452" max="8452" width="0" style="10" hidden="1" customWidth="1"/>
    <col min="8453" max="8453" width="16.6328125" style="10" customWidth="1"/>
    <col min="8454" max="8454" width="33.90625" style="10" customWidth="1"/>
    <col min="8455" max="8455" width="22.90625" style="10" customWidth="1"/>
    <col min="8456" max="8456" width="15.54296875" style="10" bestFit="1" customWidth="1"/>
    <col min="8457" max="8457" width="16.36328125" style="10" customWidth="1"/>
    <col min="8458" max="8458" width="9.08984375" style="10"/>
    <col min="8459" max="8459" width="17.54296875" style="10" bestFit="1" customWidth="1"/>
    <col min="8460" max="8460" width="14.54296875" style="10" bestFit="1" customWidth="1"/>
    <col min="8461" max="8704" width="9.08984375" style="10"/>
    <col min="8705" max="8705" width="7.36328125" style="10" customWidth="1"/>
    <col min="8706" max="8706" width="38.453125" style="10" customWidth="1"/>
    <col min="8707" max="8707" width="13.453125" style="10" bestFit="1" customWidth="1"/>
    <col min="8708" max="8708" width="0" style="10" hidden="1" customWidth="1"/>
    <col min="8709" max="8709" width="16.6328125" style="10" customWidth="1"/>
    <col min="8710" max="8710" width="33.90625" style="10" customWidth="1"/>
    <col min="8711" max="8711" width="22.90625" style="10" customWidth="1"/>
    <col min="8712" max="8712" width="15.54296875" style="10" bestFit="1" customWidth="1"/>
    <col min="8713" max="8713" width="16.36328125" style="10" customWidth="1"/>
    <col min="8714" max="8714" width="9.08984375" style="10"/>
    <col min="8715" max="8715" width="17.54296875" style="10" bestFit="1" customWidth="1"/>
    <col min="8716" max="8716" width="14.54296875" style="10" bestFit="1" customWidth="1"/>
    <col min="8717" max="8960" width="9.08984375" style="10"/>
    <col min="8961" max="8961" width="7.36328125" style="10" customWidth="1"/>
    <col min="8962" max="8962" width="38.453125" style="10" customWidth="1"/>
    <col min="8963" max="8963" width="13.453125" style="10" bestFit="1" customWidth="1"/>
    <col min="8964" max="8964" width="0" style="10" hidden="1" customWidth="1"/>
    <col min="8965" max="8965" width="16.6328125" style="10" customWidth="1"/>
    <col min="8966" max="8966" width="33.90625" style="10" customWidth="1"/>
    <col min="8967" max="8967" width="22.90625" style="10" customWidth="1"/>
    <col min="8968" max="8968" width="15.54296875" style="10" bestFit="1" customWidth="1"/>
    <col min="8969" max="8969" width="16.36328125" style="10" customWidth="1"/>
    <col min="8970" max="8970" width="9.08984375" style="10"/>
    <col min="8971" max="8971" width="17.54296875" style="10" bestFit="1" customWidth="1"/>
    <col min="8972" max="8972" width="14.54296875" style="10" bestFit="1" customWidth="1"/>
    <col min="8973" max="9216" width="9.08984375" style="10"/>
    <col min="9217" max="9217" width="7.36328125" style="10" customWidth="1"/>
    <col min="9218" max="9218" width="38.453125" style="10" customWidth="1"/>
    <col min="9219" max="9219" width="13.453125" style="10" bestFit="1" customWidth="1"/>
    <col min="9220" max="9220" width="0" style="10" hidden="1" customWidth="1"/>
    <col min="9221" max="9221" width="16.6328125" style="10" customWidth="1"/>
    <col min="9222" max="9222" width="33.90625" style="10" customWidth="1"/>
    <col min="9223" max="9223" width="22.90625" style="10" customWidth="1"/>
    <col min="9224" max="9224" width="15.54296875" style="10" bestFit="1" customWidth="1"/>
    <col min="9225" max="9225" width="16.36328125" style="10" customWidth="1"/>
    <col min="9226" max="9226" width="9.08984375" style="10"/>
    <col min="9227" max="9227" width="17.54296875" style="10" bestFit="1" customWidth="1"/>
    <col min="9228" max="9228" width="14.54296875" style="10" bestFit="1" customWidth="1"/>
    <col min="9229" max="9472" width="9.08984375" style="10"/>
    <col min="9473" max="9473" width="7.36328125" style="10" customWidth="1"/>
    <col min="9474" max="9474" width="38.453125" style="10" customWidth="1"/>
    <col min="9475" max="9475" width="13.453125" style="10" bestFit="1" customWidth="1"/>
    <col min="9476" max="9476" width="0" style="10" hidden="1" customWidth="1"/>
    <col min="9477" max="9477" width="16.6328125" style="10" customWidth="1"/>
    <col min="9478" max="9478" width="33.90625" style="10" customWidth="1"/>
    <col min="9479" max="9479" width="22.90625" style="10" customWidth="1"/>
    <col min="9480" max="9480" width="15.54296875" style="10" bestFit="1" customWidth="1"/>
    <col min="9481" max="9481" width="16.36328125" style="10" customWidth="1"/>
    <col min="9482" max="9482" width="9.08984375" style="10"/>
    <col min="9483" max="9483" width="17.54296875" style="10" bestFit="1" customWidth="1"/>
    <col min="9484" max="9484" width="14.54296875" style="10" bestFit="1" customWidth="1"/>
    <col min="9485" max="9728" width="9.08984375" style="10"/>
    <col min="9729" max="9729" width="7.36328125" style="10" customWidth="1"/>
    <col min="9730" max="9730" width="38.453125" style="10" customWidth="1"/>
    <col min="9731" max="9731" width="13.453125" style="10" bestFit="1" customWidth="1"/>
    <col min="9732" max="9732" width="0" style="10" hidden="1" customWidth="1"/>
    <col min="9733" max="9733" width="16.6328125" style="10" customWidth="1"/>
    <col min="9734" max="9734" width="33.90625" style="10" customWidth="1"/>
    <col min="9735" max="9735" width="22.90625" style="10" customWidth="1"/>
    <col min="9736" max="9736" width="15.54296875" style="10" bestFit="1" customWidth="1"/>
    <col min="9737" max="9737" width="16.36328125" style="10" customWidth="1"/>
    <col min="9738" max="9738" width="9.08984375" style="10"/>
    <col min="9739" max="9739" width="17.54296875" style="10" bestFit="1" customWidth="1"/>
    <col min="9740" max="9740" width="14.54296875" style="10" bestFit="1" customWidth="1"/>
    <col min="9741" max="9984" width="9.08984375" style="10"/>
    <col min="9985" max="9985" width="7.36328125" style="10" customWidth="1"/>
    <col min="9986" max="9986" width="38.453125" style="10" customWidth="1"/>
    <col min="9987" max="9987" width="13.453125" style="10" bestFit="1" customWidth="1"/>
    <col min="9988" max="9988" width="0" style="10" hidden="1" customWidth="1"/>
    <col min="9989" max="9989" width="16.6328125" style="10" customWidth="1"/>
    <col min="9990" max="9990" width="33.90625" style="10" customWidth="1"/>
    <col min="9991" max="9991" width="22.90625" style="10" customWidth="1"/>
    <col min="9992" max="9992" width="15.54296875" style="10" bestFit="1" customWidth="1"/>
    <col min="9993" max="9993" width="16.36328125" style="10" customWidth="1"/>
    <col min="9994" max="9994" width="9.08984375" style="10"/>
    <col min="9995" max="9995" width="17.54296875" style="10" bestFit="1" customWidth="1"/>
    <col min="9996" max="9996" width="14.54296875" style="10" bestFit="1" customWidth="1"/>
    <col min="9997" max="10240" width="9.08984375" style="10"/>
    <col min="10241" max="10241" width="7.36328125" style="10" customWidth="1"/>
    <col min="10242" max="10242" width="38.453125" style="10" customWidth="1"/>
    <col min="10243" max="10243" width="13.453125" style="10" bestFit="1" customWidth="1"/>
    <col min="10244" max="10244" width="0" style="10" hidden="1" customWidth="1"/>
    <col min="10245" max="10245" width="16.6328125" style="10" customWidth="1"/>
    <col min="10246" max="10246" width="33.90625" style="10" customWidth="1"/>
    <col min="10247" max="10247" width="22.90625" style="10" customWidth="1"/>
    <col min="10248" max="10248" width="15.54296875" style="10" bestFit="1" customWidth="1"/>
    <col min="10249" max="10249" width="16.36328125" style="10" customWidth="1"/>
    <col min="10250" max="10250" width="9.08984375" style="10"/>
    <col min="10251" max="10251" width="17.54296875" style="10" bestFit="1" customWidth="1"/>
    <col min="10252" max="10252" width="14.54296875" style="10" bestFit="1" customWidth="1"/>
    <col min="10253" max="10496" width="9.08984375" style="10"/>
    <col min="10497" max="10497" width="7.36328125" style="10" customWidth="1"/>
    <col min="10498" max="10498" width="38.453125" style="10" customWidth="1"/>
    <col min="10499" max="10499" width="13.453125" style="10" bestFit="1" customWidth="1"/>
    <col min="10500" max="10500" width="0" style="10" hidden="1" customWidth="1"/>
    <col min="10501" max="10501" width="16.6328125" style="10" customWidth="1"/>
    <col min="10502" max="10502" width="33.90625" style="10" customWidth="1"/>
    <col min="10503" max="10503" width="22.90625" style="10" customWidth="1"/>
    <col min="10504" max="10504" width="15.54296875" style="10" bestFit="1" customWidth="1"/>
    <col min="10505" max="10505" width="16.36328125" style="10" customWidth="1"/>
    <col min="10506" max="10506" width="9.08984375" style="10"/>
    <col min="10507" max="10507" width="17.54296875" style="10" bestFit="1" customWidth="1"/>
    <col min="10508" max="10508" width="14.54296875" style="10" bestFit="1" customWidth="1"/>
    <col min="10509" max="10752" width="9.08984375" style="10"/>
    <col min="10753" max="10753" width="7.36328125" style="10" customWidth="1"/>
    <col min="10754" max="10754" width="38.453125" style="10" customWidth="1"/>
    <col min="10755" max="10755" width="13.453125" style="10" bestFit="1" customWidth="1"/>
    <col min="10756" max="10756" width="0" style="10" hidden="1" customWidth="1"/>
    <col min="10757" max="10757" width="16.6328125" style="10" customWidth="1"/>
    <col min="10758" max="10758" width="33.90625" style="10" customWidth="1"/>
    <col min="10759" max="10759" width="22.90625" style="10" customWidth="1"/>
    <col min="10760" max="10760" width="15.54296875" style="10" bestFit="1" customWidth="1"/>
    <col min="10761" max="10761" width="16.36328125" style="10" customWidth="1"/>
    <col min="10762" max="10762" width="9.08984375" style="10"/>
    <col min="10763" max="10763" width="17.54296875" style="10" bestFit="1" customWidth="1"/>
    <col min="10764" max="10764" width="14.54296875" style="10" bestFit="1" customWidth="1"/>
    <col min="10765" max="11008" width="9.08984375" style="10"/>
    <col min="11009" max="11009" width="7.36328125" style="10" customWidth="1"/>
    <col min="11010" max="11010" width="38.453125" style="10" customWidth="1"/>
    <col min="11011" max="11011" width="13.453125" style="10" bestFit="1" customWidth="1"/>
    <col min="11012" max="11012" width="0" style="10" hidden="1" customWidth="1"/>
    <col min="11013" max="11013" width="16.6328125" style="10" customWidth="1"/>
    <col min="11014" max="11014" width="33.90625" style="10" customWidth="1"/>
    <col min="11015" max="11015" width="22.90625" style="10" customWidth="1"/>
    <col min="11016" max="11016" width="15.54296875" style="10" bestFit="1" customWidth="1"/>
    <col min="11017" max="11017" width="16.36328125" style="10" customWidth="1"/>
    <col min="11018" max="11018" width="9.08984375" style="10"/>
    <col min="11019" max="11019" width="17.54296875" style="10" bestFit="1" customWidth="1"/>
    <col min="11020" max="11020" width="14.54296875" style="10" bestFit="1" customWidth="1"/>
    <col min="11021" max="11264" width="9.08984375" style="10"/>
    <col min="11265" max="11265" width="7.36328125" style="10" customWidth="1"/>
    <col min="11266" max="11266" width="38.453125" style="10" customWidth="1"/>
    <col min="11267" max="11267" width="13.453125" style="10" bestFit="1" customWidth="1"/>
    <col min="11268" max="11268" width="0" style="10" hidden="1" customWidth="1"/>
    <col min="11269" max="11269" width="16.6328125" style="10" customWidth="1"/>
    <col min="11270" max="11270" width="33.90625" style="10" customWidth="1"/>
    <col min="11271" max="11271" width="22.90625" style="10" customWidth="1"/>
    <col min="11272" max="11272" width="15.54296875" style="10" bestFit="1" customWidth="1"/>
    <col min="11273" max="11273" width="16.36328125" style="10" customWidth="1"/>
    <col min="11274" max="11274" width="9.08984375" style="10"/>
    <col min="11275" max="11275" width="17.54296875" style="10" bestFit="1" customWidth="1"/>
    <col min="11276" max="11276" width="14.54296875" style="10" bestFit="1" customWidth="1"/>
    <col min="11277" max="11520" width="9.08984375" style="10"/>
    <col min="11521" max="11521" width="7.36328125" style="10" customWidth="1"/>
    <col min="11522" max="11522" width="38.453125" style="10" customWidth="1"/>
    <col min="11523" max="11523" width="13.453125" style="10" bestFit="1" customWidth="1"/>
    <col min="11524" max="11524" width="0" style="10" hidden="1" customWidth="1"/>
    <col min="11525" max="11525" width="16.6328125" style="10" customWidth="1"/>
    <col min="11526" max="11526" width="33.90625" style="10" customWidth="1"/>
    <col min="11527" max="11527" width="22.90625" style="10" customWidth="1"/>
    <col min="11528" max="11528" width="15.54296875" style="10" bestFit="1" customWidth="1"/>
    <col min="11529" max="11529" width="16.36328125" style="10" customWidth="1"/>
    <col min="11530" max="11530" width="9.08984375" style="10"/>
    <col min="11531" max="11531" width="17.54296875" style="10" bestFit="1" customWidth="1"/>
    <col min="11532" max="11532" width="14.54296875" style="10" bestFit="1" customWidth="1"/>
    <col min="11533" max="11776" width="9.08984375" style="10"/>
    <col min="11777" max="11777" width="7.36328125" style="10" customWidth="1"/>
    <col min="11778" max="11778" width="38.453125" style="10" customWidth="1"/>
    <col min="11779" max="11779" width="13.453125" style="10" bestFit="1" customWidth="1"/>
    <col min="11780" max="11780" width="0" style="10" hidden="1" customWidth="1"/>
    <col min="11781" max="11781" width="16.6328125" style="10" customWidth="1"/>
    <col min="11782" max="11782" width="33.90625" style="10" customWidth="1"/>
    <col min="11783" max="11783" width="22.90625" style="10" customWidth="1"/>
    <col min="11784" max="11784" width="15.54296875" style="10" bestFit="1" customWidth="1"/>
    <col min="11785" max="11785" width="16.36328125" style="10" customWidth="1"/>
    <col min="11786" max="11786" width="9.08984375" style="10"/>
    <col min="11787" max="11787" width="17.54296875" style="10" bestFit="1" customWidth="1"/>
    <col min="11788" max="11788" width="14.54296875" style="10" bestFit="1" customWidth="1"/>
    <col min="11789" max="12032" width="9.08984375" style="10"/>
    <col min="12033" max="12033" width="7.36328125" style="10" customWidth="1"/>
    <col min="12034" max="12034" width="38.453125" style="10" customWidth="1"/>
    <col min="12035" max="12035" width="13.453125" style="10" bestFit="1" customWidth="1"/>
    <col min="12036" max="12036" width="0" style="10" hidden="1" customWidth="1"/>
    <col min="12037" max="12037" width="16.6328125" style="10" customWidth="1"/>
    <col min="12038" max="12038" width="33.90625" style="10" customWidth="1"/>
    <col min="12039" max="12039" width="22.90625" style="10" customWidth="1"/>
    <col min="12040" max="12040" width="15.54296875" style="10" bestFit="1" customWidth="1"/>
    <col min="12041" max="12041" width="16.36328125" style="10" customWidth="1"/>
    <col min="12042" max="12042" width="9.08984375" style="10"/>
    <col min="12043" max="12043" width="17.54296875" style="10" bestFit="1" customWidth="1"/>
    <col min="12044" max="12044" width="14.54296875" style="10" bestFit="1" customWidth="1"/>
    <col min="12045" max="12288" width="9.08984375" style="10"/>
    <col min="12289" max="12289" width="7.36328125" style="10" customWidth="1"/>
    <col min="12290" max="12290" width="38.453125" style="10" customWidth="1"/>
    <col min="12291" max="12291" width="13.453125" style="10" bestFit="1" customWidth="1"/>
    <col min="12292" max="12292" width="0" style="10" hidden="1" customWidth="1"/>
    <col min="12293" max="12293" width="16.6328125" style="10" customWidth="1"/>
    <col min="12294" max="12294" width="33.90625" style="10" customWidth="1"/>
    <col min="12295" max="12295" width="22.90625" style="10" customWidth="1"/>
    <col min="12296" max="12296" width="15.54296875" style="10" bestFit="1" customWidth="1"/>
    <col min="12297" max="12297" width="16.36328125" style="10" customWidth="1"/>
    <col min="12298" max="12298" width="9.08984375" style="10"/>
    <col min="12299" max="12299" width="17.54296875" style="10" bestFit="1" customWidth="1"/>
    <col min="12300" max="12300" width="14.54296875" style="10" bestFit="1" customWidth="1"/>
    <col min="12301" max="12544" width="9.08984375" style="10"/>
    <col min="12545" max="12545" width="7.36328125" style="10" customWidth="1"/>
    <col min="12546" max="12546" width="38.453125" style="10" customWidth="1"/>
    <col min="12547" max="12547" width="13.453125" style="10" bestFit="1" customWidth="1"/>
    <col min="12548" max="12548" width="0" style="10" hidden="1" customWidth="1"/>
    <col min="12549" max="12549" width="16.6328125" style="10" customWidth="1"/>
    <col min="12550" max="12550" width="33.90625" style="10" customWidth="1"/>
    <col min="12551" max="12551" width="22.90625" style="10" customWidth="1"/>
    <col min="12552" max="12552" width="15.54296875" style="10" bestFit="1" customWidth="1"/>
    <col min="12553" max="12553" width="16.36328125" style="10" customWidth="1"/>
    <col min="12554" max="12554" width="9.08984375" style="10"/>
    <col min="12555" max="12555" width="17.54296875" style="10" bestFit="1" customWidth="1"/>
    <col min="12556" max="12556" width="14.54296875" style="10" bestFit="1" customWidth="1"/>
    <col min="12557" max="12800" width="9.08984375" style="10"/>
    <col min="12801" max="12801" width="7.36328125" style="10" customWidth="1"/>
    <col min="12802" max="12802" width="38.453125" style="10" customWidth="1"/>
    <col min="12803" max="12803" width="13.453125" style="10" bestFit="1" customWidth="1"/>
    <col min="12804" max="12804" width="0" style="10" hidden="1" customWidth="1"/>
    <col min="12805" max="12805" width="16.6328125" style="10" customWidth="1"/>
    <col min="12806" max="12806" width="33.90625" style="10" customWidth="1"/>
    <col min="12807" max="12807" width="22.90625" style="10" customWidth="1"/>
    <col min="12808" max="12808" width="15.54296875" style="10" bestFit="1" customWidth="1"/>
    <col min="12809" max="12809" width="16.36328125" style="10" customWidth="1"/>
    <col min="12810" max="12810" width="9.08984375" style="10"/>
    <col min="12811" max="12811" width="17.54296875" style="10" bestFit="1" customWidth="1"/>
    <col min="12812" max="12812" width="14.54296875" style="10" bestFit="1" customWidth="1"/>
    <col min="12813" max="13056" width="9.08984375" style="10"/>
    <col min="13057" max="13057" width="7.36328125" style="10" customWidth="1"/>
    <col min="13058" max="13058" width="38.453125" style="10" customWidth="1"/>
    <col min="13059" max="13059" width="13.453125" style="10" bestFit="1" customWidth="1"/>
    <col min="13060" max="13060" width="0" style="10" hidden="1" customWidth="1"/>
    <col min="13061" max="13061" width="16.6328125" style="10" customWidth="1"/>
    <col min="13062" max="13062" width="33.90625" style="10" customWidth="1"/>
    <col min="13063" max="13063" width="22.90625" style="10" customWidth="1"/>
    <col min="13064" max="13064" width="15.54296875" style="10" bestFit="1" customWidth="1"/>
    <col min="13065" max="13065" width="16.36328125" style="10" customWidth="1"/>
    <col min="13066" max="13066" width="9.08984375" style="10"/>
    <col min="13067" max="13067" width="17.54296875" style="10" bestFit="1" customWidth="1"/>
    <col min="13068" max="13068" width="14.54296875" style="10" bestFit="1" customWidth="1"/>
    <col min="13069" max="13312" width="9.08984375" style="10"/>
    <col min="13313" max="13313" width="7.36328125" style="10" customWidth="1"/>
    <col min="13314" max="13314" width="38.453125" style="10" customWidth="1"/>
    <col min="13315" max="13315" width="13.453125" style="10" bestFit="1" customWidth="1"/>
    <col min="13316" max="13316" width="0" style="10" hidden="1" customWidth="1"/>
    <col min="13317" max="13317" width="16.6328125" style="10" customWidth="1"/>
    <col min="13318" max="13318" width="33.90625" style="10" customWidth="1"/>
    <col min="13319" max="13319" width="22.90625" style="10" customWidth="1"/>
    <col min="13320" max="13320" width="15.54296875" style="10" bestFit="1" customWidth="1"/>
    <col min="13321" max="13321" width="16.36328125" style="10" customWidth="1"/>
    <col min="13322" max="13322" width="9.08984375" style="10"/>
    <col min="13323" max="13323" width="17.54296875" style="10" bestFit="1" customWidth="1"/>
    <col min="13324" max="13324" width="14.54296875" style="10" bestFit="1" customWidth="1"/>
    <col min="13325" max="13568" width="9.08984375" style="10"/>
    <col min="13569" max="13569" width="7.36328125" style="10" customWidth="1"/>
    <col min="13570" max="13570" width="38.453125" style="10" customWidth="1"/>
    <col min="13571" max="13571" width="13.453125" style="10" bestFit="1" customWidth="1"/>
    <col min="13572" max="13572" width="0" style="10" hidden="1" customWidth="1"/>
    <col min="13573" max="13573" width="16.6328125" style="10" customWidth="1"/>
    <col min="13574" max="13574" width="33.90625" style="10" customWidth="1"/>
    <col min="13575" max="13575" width="22.90625" style="10" customWidth="1"/>
    <col min="13576" max="13576" width="15.54296875" style="10" bestFit="1" customWidth="1"/>
    <col min="13577" max="13577" width="16.36328125" style="10" customWidth="1"/>
    <col min="13578" max="13578" width="9.08984375" style="10"/>
    <col min="13579" max="13579" width="17.54296875" style="10" bestFit="1" customWidth="1"/>
    <col min="13580" max="13580" width="14.54296875" style="10" bestFit="1" customWidth="1"/>
    <col min="13581" max="13824" width="9.08984375" style="10"/>
    <col min="13825" max="13825" width="7.36328125" style="10" customWidth="1"/>
    <col min="13826" max="13826" width="38.453125" style="10" customWidth="1"/>
    <col min="13827" max="13827" width="13.453125" style="10" bestFit="1" customWidth="1"/>
    <col min="13828" max="13828" width="0" style="10" hidden="1" customWidth="1"/>
    <col min="13829" max="13829" width="16.6328125" style="10" customWidth="1"/>
    <col min="13830" max="13830" width="33.90625" style="10" customWidth="1"/>
    <col min="13831" max="13831" width="22.90625" style="10" customWidth="1"/>
    <col min="13832" max="13832" width="15.54296875" style="10" bestFit="1" customWidth="1"/>
    <col min="13833" max="13833" width="16.36328125" style="10" customWidth="1"/>
    <col min="13834" max="13834" width="9.08984375" style="10"/>
    <col min="13835" max="13835" width="17.54296875" style="10" bestFit="1" customWidth="1"/>
    <col min="13836" max="13836" width="14.54296875" style="10" bestFit="1" customWidth="1"/>
    <col min="13837" max="14080" width="9.08984375" style="10"/>
    <col min="14081" max="14081" width="7.36328125" style="10" customWidth="1"/>
    <col min="14082" max="14082" width="38.453125" style="10" customWidth="1"/>
    <col min="14083" max="14083" width="13.453125" style="10" bestFit="1" customWidth="1"/>
    <col min="14084" max="14084" width="0" style="10" hidden="1" customWidth="1"/>
    <col min="14085" max="14085" width="16.6328125" style="10" customWidth="1"/>
    <col min="14086" max="14086" width="33.90625" style="10" customWidth="1"/>
    <col min="14087" max="14087" width="22.90625" style="10" customWidth="1"/>
    <col min="14088" max="14088" width="15.54296875" style="10" bestFit="1" customWidth="1"/>
    <col min="14089" max="14089" width="16.36328125" style="10" customWidth="1"/>
    <col min="14090" max="14090" width="9.08984375" style="10"/>
    <col min="14091" max="14091" width="17.54296875" style="10" bestFit="1" customWidth="1"/>
    <col min="14092" max="14092" width="14.54296875" style="10" bestFit="1" customWidth="1"/>
    <col min="14093" max="14336" width="9.08984375" style="10"/>
    <col min="14337" max="14337" width="7.36328125" style="10" customWidth="1"/>
    <col min="14338" max="14338" width="38.453125" style="10" customWidth="1"/>
    <col min="14339" max="14339" width="13.453125" style="10" bestFit="1" customWidth="1"/>
    <col min="14340" max="14340" width="0" style="10" hidden="1" customWidth="1"/>
    <col min="14341" max="14341" width="16.6328125" style="10" customWidth="1"/>
    <col min="14342" max="14342" width="33.90625" style="10" customWidth="1"/>
    <col min="14343" max="14343" width="22.90625" style="10" customWidth="1"/>
    <col min="14344" max="14344" width="15.54296875" style="10" bestFit="1" customWidth="1"/>
    <col min="14345" max="14345" width="16.36328125" style="10" customWidth="1"/>
    <col min="14346" max="14346" width="9.08984375" style="10"/>
    <col min="14347" max="14347" width="17.54296875" style="10" bestFit="1" customWidth="1"/>
    <col min="14348" max="14348" width="14.54296875" style="10" bestFit="1" customWidth="1"/>
    <col min="14349" max="14592" width="9.08984375" style="10"/>
    <col min="14593" max="14593" width="7.36328125" style="10" customWidth="1"/>
    <col min="14594" max="14594" width="38.453125" style="10" customWidth="1"/>
    <col min="14595" max="14595" width="13.453125" style="10" bestFit="1" customWidth="1"/>
    <col min="14596" max="14596" width="0" style="10" hidden="1" customWidth="1"/>
    <col min="14597" max="14597" width="16.6328125" style="10" customWidth="1"/>
    <col min="14598" max="14598" width="33.90625" style="10" customWidth="1"/>
    <col min="14599" max="14599" width="22.90625" style="10" customWidth="1"/>
    <col min="14600" max="14600" width="15.54296875" style="10" bestFit="1" customWidth="1"/>
    <col min="14601" max="14601" width="16.36328125" style="10" customWidth="1"/>
    <col min="14602" max="14602" width="9.08984375" style="10"/>
    <col min="14603" max="14603" width="17.54296875" style="10" bestFit="1" customWidth="1"/>
    <col min="14604" max="14604" width="14.54296875" style="10" bestFit="1" customWidth="1"/>
    <col min="14605" max="14848" width="9.08984375" style="10"/>
    <col min="14849" max="14849" width="7.36328125" style="10" customWidth="1"/>
    <col min="14850" max="14850" width="38.453125" style="10" customWidth="1"/>
    <col min="14851" max="14851" width="13.453125" style="10" bestFit="1" customWidth="1"/>
    <col min="14852" max="14852" width="0" style="10" hidden="1" customWidth="1"/>
    <col min="14853" max="14853" width="16.6328125" style="10" customWidth="1"/>
    <col min="14854" max="14854" width="33.90625" style="10" customWidth="1"/>
    <col min="14855" max="14855" width="22.90625" style="10" customWidth="1"/>
    <col min="14856" max="14856" width="15.54296875" style="10" bestFit="1" customWidth="1"/>
    <col min="14857" max="14857" width="16.36328125" style="10" customWidth="1"/>
    <col min="14858" max="14858" width="9.08984375" style="10"/>
    <col min="14859" max="14859" width="17.54296875" style="10" bestFit="1" customWidth="1"/>
    <col min="14860" max="14860" width="14.54296875" style="10" bestFit="1" customWidth="1"/>
    <col min="14861" max="15104" width="9.08984375" style="10"/>
    <col min="15105" max="15105" width="7.36328125" style="10" customWidth="1"/>
    <col min="15106" max="15106" width="38.453125" style="10" customWidth="1"/>
    <col min="15107" max="15107" width="13.453125" style="10" bestFit="1" customWidth="1"/>
    <col min="15108" max="15108" width="0" style="10" hidden="1" customWidth="1"/>
    <col min="15109" max="15109" width="16.6328125" style="10" customWidth="1"/>
    <col min="15110" max="15110" width="33.90625" style="10" customWidth="1"/>
    <col min="15111" max="15111" width="22.90625" style="10" customWidth="1"/>
    <col min="15112" max="15112" width="15.54296875" style="10" bestFit="1" customWidth="1"/>
    <col min="15113" max="15113" width="16.36328125" style="10" customWidth="1"/>
    <col min="15114" max="15114" width="9.08984375" style="10"/>
    <col min="15115" max="15115" width="17.54296875" style="10" bestFit="1" customWidth="1"/>
    <col min="15116" max="15116" width="14.54296875" style="10" bestFit="1" customWidth="1"/>
    <col min="15117" max="15360" width="9.08984375" style="10"/>
    <col min="15361" max="15361" width="7.36328125" style="10" customWidth="1"/>
    <col min="15362" max="15362" width="38.453125" style="10" customWidth="1"/>
    <col min="15363" max="15363" width="13.453125" style="10" bestFit="1" customWidth="1"/>
    <col min="15364" max="15364" width="0" style="10" hidden="1" customWidth="1"/>
    <col min="15365" max="15365" width="16.6328125" style="10" customWidth="1"/>
    <col min="15366" max="15366" width="33.90625" style="10" customWidth="1"/>
    <col min="15367" max="15367" width="22.90625" style="10" customWidth="1"/>
    <col min="15368" max="15368" width="15.54296875" style="10" bestFit="1" customWidth="1"/>
    <col min="15369" max="15369" width="16.36328125" style="10" customWidth="1"/>
    <col min="15370" max="15370" width="9.08984375" style="10"/>
    <col min="15371" max="15371" width="17.54296875" style="10" bestFit="1" customWidth="1"/>
    <col min="15372" max="15372" width="14.54296875" style="10" bestFit="1" customWidth="1"/>
    <col min="15373" max="15616" width="9.08984375" style="10"/>
    <col min="15617" max="15617" width="7.36328125" style="10" customWidth="1"/>
    <col min="15618" max="15618" width="38.453125" style="10" customWidth="1"/>
    <col min="15619" max="15619" width="13.453125" style="10" bestFit="1" customWidth="1"/>
    <col min="15620" max="15620" width="0" style="10" hidden="1" customWidth="1"/>
    <col min="15621" max="15621" width="16.6328125" style="10" customWidth="1"/>
    <col min="15622" max="15622" width="33.90625" style="10" customWidth="1"/>
    <col min="15623" max="15623" width="22.90625" style="10" customWidth="1"/>
    <col min="15624" max="15624" width="15.54296875" style="10" bestFit="1" customWidth="1"/>
    <col min="15625" max="15625" width="16.36328125" style="10" customWidth="1"/>
    <col min="15626" max="15626" width="9.08984375" style="10"/>
    <col min="15627" max="15627" width="17.54296875" style="10" bestFit="1" customWidth="1"/>
    <col min="15628" max="15628" width="14.54296875" style="10" bestFit="1" customWidth="1"/>
    <col min="15629" max="15872" width="9.08984375" style="10"/>
    <col min="15873" max="15873" width="7.36328125" style="10" customWidth="1"/>
    <col min="15874" max="15874" width="38.453125" style="10" customWidth="1"/>
    <col min="15875" max="15875" width="13.453125" style="10" bestFit="1" customWidth="1"/>
    <col min="15876" max="15876" width="0" style="10" hidden="1" customWidth="1"/>
    <col min="15877" max="15877" width="16.6328125" style="10" customWidth="1"/>
    <col min="15878" max="15878" width="33.90625" style="10" customWidth="1"/>
    <col min="15879" max="15879" width="22.90625" style="10" customWidth="1"/>
    <col min="15880" max="15880" width="15.54296875" style="10" bestFit="1" customWidth="1"/>
    <col min="15881" max="15881" width="16.36328125" style="10" customWidth="1"/>
    <col min="15882" max="15882" width="9.08984375" style="10"/>
    <col min="15883" max="15883" width="17.54296875" style="10" bestFit="1" customWidth="1"/>
    <col min="15884" max="15884" width="14.54296875" style="10" bestFit="1" customWidth="1"/>
    <col min="15885" max="16128" width="9.08984375" style="10"/>
    <col min="16129" max="16129" width="7.36328125" style="10" customWidth="1"/>
    <col min="16130" max="16130" width="38.453125" style="10" customWidth="1"/>
    <col min="16131" max="16131" width="13.453125" style="10" bestFit="1" customWidth="1"/>
    <col min="16132" max="16132" width="0" style="10" hidden="1" customWidth="1"/>
    <col min="16133" max="16133" width="16.6328125" style="10" customWidth="1"/>
    <col min="16134" max="16134" width="33.90625" style="10" customWidth="1"/>
    <col min="16135" max="16135" width="22.90625" style="10" customWidth="1"/>
    <col min="16136" max="16136" width="15.54296875" style="10" bestFit="1" customWidth="1"/>
    <col min="16137" max="16137" width="16.36328125" style="10" customWidth="1"/>
    <col min="16138" max="16138" width="9.08984375" style="10"/>
    <col min="16139" max="16139" width="17.54296875" style="10" bestFit="1" customWidth="1"/>
    <col min="16140" max="16140" width="14.54296875" style="10" bestFit="1" customWidth="1"/>
    <col min="16141" max="16384" width="9.08984375" style="10"/>
  </cols>
  <sheetData>
    <row r="1" spans="1:12" x14ac:dyDescent="0.3">
      <c r="A1" s="61" t="s">
        <v>69</v>
      </c>
      <c r="B1" s="58"/>
      <c r="C1" s="61"/>
      <c r="D1" s="58"/>
      <c r="E1" s="61"/>
      <c r="F1" s="58"/>
      <c r="G1" s="60"/>
      <c r="H1" s="59"/>
      <c r="I1" s="58"/>
    </row>
    <row r="2" spans="1:12" x14ac:dyDescent="0.35">
      <c r="A2" s="717" t="s">
        <v>0</v>
      </c>
      <c r="B2" s="717"/>
      <c r="C2" s="717"/>
      <c r="D2" s="717"/>
      <c r="E2" s="717"/>
      <c r="F2" s="717"/>
      <c r="G2" s="717"/>
      <c r="H2" s="717"/>
      <c r="I2" s="717"/>
    </row>
    <row r="3" spans="1:12" ht="12.65" customHeight="1" x14ac:dyDescent="0.3">
      <c r="A3" s="57"/>
      <c r="B3" s="57"/>
    </row>
    <row r="4" spans="1:12" ht="20.25" customHeight="1" x14ac:dyDescent="0.35">
      <c r="A4" s="718" t="s">
        <v>135</v>
      </c>
      <c r="B4" s="718"/>
      <c r="C4" s="718"/>
      <c r="D4" s="718"/>
      <c r="E4" s="718"/>
      <c r="F4" s="718"/>
      <c r="G4" s="718"/>
      <c r="H4" s="718"/>
      <c r="I4" s="718"/>
    </row>
    <row r="5" spans="1:12" ht="18.649999999999999" customHeight="1" x14ac:dyDescent="0.35">
      <c r="G5" s="716"/>
      <c r="H5" s="716"/>
      <c r="I5" s="716"/>
    </row>
    <row r="6" spans="1:12" ht="57.65" customHeight="1" x14ac:dyDescent="0.35">
      <c r="A6" s="55" t="s">
        <v>16</v>
      </c>
      <c r="B6" s="55" t="s">
        <v>68</v>
      </c>
      <c r="C6" s="55" t="s">
        <v>67</v>
      </c>
      <c r="D6" s="55" t="s">
        <v>66</v>
      </c>
      <c r="E6" s="55" t="s">
        <v>65</v>
      </c>
      <c r="F6" s="55" t="s">
        <v>93</v>
      </c>
      <c r="G6" s="56" t="s">
        <v>64</v>
      </c>
      <c r="H6" s="55" t="s">
        <v>63</v>
      </c>
      <c r="I6" s="55" t="s">
        <v>22</v>
      </c>
    </row>
    <row r="7" spans="1:12" ht="63.75" customHeight="1" x14ac:dyDescent="0.35">
      <c r="A7" s="99">
        <v>1</v>
      </c>
      <c r="B7" s="53" t="s">
        <v>61</v>
      </c>
      <c r="C7" s="99" t="s">
        <v>59</v>
      </c>
      <c r="D7" s="53" t="s">
        <v>62</v>
      </c>
      <c r="E7" s="51" t="s">
        <v>62</v>
      </c>
      <c r="F7" s="53" t="s">
        <v>61</v>
      </c>
      <c r="G7" s="102">
        <v>300000000</v>
      </c>
      <c r="H7" s="100" t="s">
        <v>99</v>
      </c>
      <c r="I7" s="54"/>
      <c r="L7" s="47">
        <f>G7/1000000</f>
        <v>300</v>
      </c>
    </row>
    <row r="8" spans="1:12" ht="32.25" customHeight="1" x14ac:dyDescent="0.35">
      <c r="A8" s="99">
        <v>2</v>
      </c>
      <c r="B8" s="91" t="s">
        <v>60</v>
      </c>
      <c r="C8" s="21" t="s">
        <v>59</v>
      </c>
      <c r="D8" s="53"/>
      <c r="E8" s="51"/>
      <c r="F8" s="53"/>
      <c r="G8" s="103">
        <v>10000000000</v>
      </c>
      <c r="H8" s="100" t="s">
        <v>99</v>
      </c>
      <c r="I8" s="54"/>
      <c r="L8" s="47">
        <f>G8/1000000</f>
        <v>10000</v>
      </c>
    </row>
    <row r="9" spans="1:12" ht="32.25" customHeight="1" x14ac:dyDescent="0.35">
      <c r="A9" s="99">
        <v>3</v>
      </c>
      <c r="B9" s="91" t="s">
        <v>131</v>
      </c>
      <c r="C9" s="21" t="s">
        <v>133</v>
      </c>
      <c r="D9" s="53"/>
      <c r="E9" s="51"/>
      <c r="F9" s="53"/>
      <c r="G9" s="103">
        <v>2500000000</v>
      </c>
      <c r="H9" s="100" t="s">
        <v>99</v>
      </c>
      <c r="I9" s="23"/>
      <c r="L9" s="47"/>
    </row>
    <row r="10" spans="1:12" ht="32.25" customHeight="1" x14ac:dyDescent="0.35">
      <c r="A10" s="99">
        <v>4</v>
      </c>
      <c r="B10" s="91" t="s">
        <v>138</v>
      </c>
      <c r="C10" s="21" t="s">
        <v>39</v>
      </c>
      <c r="D10" s="53"/>
      <c r="E10" s="51"/>
      <c r="F10" s="53"/>
      <c r="G10" s="103">
        <v>5000000000</v>
      </c>
      <c r="H10" s="100" t="s">
        <v>99</v>
      </c>
      <c r="I10" s="23"/>
      <c r="L10" s="47"/>
    </row>
    <row r="11" spans="1:12" ht="32.25" customHeight="1" x14ac:dyDescent="0.35">
      <c r="A11" s="99">
        <v>5</v>
      </c>
      <c r="B11" s="91" t="s">
        <v>137</v>
      </c>
      <c r="C11" s="21" t="s">
        <v>39</v>
      </c>
      <c r="D11" s="53"/>
      <c r="E11" s="51"/>
      <c r="F11" s="53"/>
      <c r="G11" s="103">
        <v>10000000000</v>
      </c>
      <c r="H11" s="100" t="s">
        <v>99</v>
      </c>
      <c r="I11" s="23"/>
      <c r="L11" s="47"/>
    </row>
    <row r="12" spans="1:12" ht="42.75" customHeight="1" x14ac:dyDescent="0.35">
      <c r="A12" s="99">
        <v>6</v>
      </c>
      <c r="B12" s="91" t="s">
        <v>139</v>
      </c>
      <c r="C12" s="21" t="s">
        <v>134</v>
      </c>
      <c r="D12" s="53"/>
      <c r="E12" s="51"/>
      <c r="F12" s="53"/>
      <c r="G12" s="103">
        <v>36000000000</v>
      </c>
      <c r="H12" s="100" t="s">
        <v>99</v>
      </c>
      <c r="I12" s="23"/>
      <c r="L12" s="47"/>
    </row>
    <row r="13" spans="1:12" ht="32.25" customHeight="1" x14ac:dyDescent="0.35">
      <c r="A13" s="99">
        <v>7</v>
      </c>
      <c r="B13" s="91" t="s">
        <v>136</v>
      </c>
      <c r="C13" s="21"/>
      <c r="D13" s="53"/>
      <c r="E13" s="51"/>
      <c r="F13" s="53"/>
      <c r="G13" s="103">
        <v>800000000</v>
      </c>
      <c r="H13" s="100" t="s">
        <v>99</v>
      </c>
      <c r="I13" s="23"/>
      <c r="L13" s="47"/>
    </row>
    <row r="14" spans="1:12" ht="21.75" customHeight="1" x14ac:dyDescent="0.35">
      <c r="A14" s="52"/>
      <c r="B14" s="52" t="s">
        <v>15</v>
      </c>
      <c r="C14" s="21"/>
      <c r="D14" s="51"/>
      <c r="E14" s="50"/>
      <c r="F14" s="50"/>
      <c r="G14" s="49">
        <f>SUM(G7:G13)</f>
        <v>64600000000</v>
      </c>
      <c r="H14" s="21"/>
      <c r="I14" s="48"/>
      <c r="L14" s="47"/>
    </row>
    <row r="15" spans="1:12" x14ac:dyDescent="0.35">
      <c r="A15" s="43"/>
      <c r="B15" s="45"/>
      <c r="C15" s="43"/>
      <c r="D15" s="43"/>
      <c r="E15" s="43"/>
      <c r="F15" s="43"/>
      <c r="G15" s="44"/>
      <c r="H15" s="43"/>
      <c r="I15" s="43"/>
    </row>
    <row r="16" spans="1:12" x14ac:dyDescent="0.35">
      <c r="A16" s="43"/>
      <c r="B16" s="45"/>
      <c r="C16" s="43"/>
      <c r="D16" s="43"/>
      <c r="E16" s="43"/>
      <c r="F16" s="43"/>
      <c r="G16" s="44"/>
      <c r="H16" s="43"/>
      <c r="I16" s="46"/>
    </row>
    <row r="17" spans="1:9" x14ac:dyDescent="0.35">
      <c r="A17" s="43"/>
      <c r="B17" s="45"/>
      <c r="C17" s="43"/>
      <c r="D17" s="43"/>
      <c r="E17" s="43"/>
      <c r="F17" s="43"/>
      <c r="G17" s="44"/>
      <c r="H17" s="43"/>
      <c r="I17" s="43"/>
    </row>
    <row r="18" spans="1:9" x14ac:dyDescent="0.35">
      <c r="A18" s="43"/>
      <c r="B18" s="45"/>
      <c r="C18" s="43"/>
      <c r="D18" s="43"/>
      <c r="E18" s="43"/>
      <c r="F18" s="43"/>
      <c r="G18" s="44"/>
      <c r="H18" s="43"/>
      <c r="I18" s="43"/>
    </row>
    <row r="19" spans="1:9" x14ac:dyDescent="0.35">
      <c r="A19" s="43"/>
      <c r="B19" s="45"/>
      <c r="C19" s="43"/>
      <c r="D19" s="43"/>
      <c r="E19" s="43"/>
      <c r="F19" s="43"/>
      <c r="G19" s="44"/>
      <c r="H19" s="43"/>
      <c r="I19" s="43"/>
    </row>
    <row r="20" spans="1:9" x14ac:dyDescent="0.35">
      <c r="A20" s="43"/>
      <c r="B20" s="45"/>
      <c r="C20" s="43"/>
      <c r="D20" s="43"/>
      <c r="E20" s="43"/>
      <c r="F20" s="43"/>
      <c r="G20" s="44"/>
      <c r="H20" s="43"/>
      <c r="I20" s="43"/>
    </row>
    <row r="21" spans="1:9" x14ac:dyDescent="0.35">
      <c r="A21" s="43"/>
      <c r="B21" s="45"/>
      <c r="C21" s="43"/>
      <c r="D21" s="43"/>
      <c r="E21" s="43"/>
      <c r="F21" s="43"/>
      <c r="G21" s="44"/>
      <c r="H21" s="43"/>
      <c r="I21" s="43"/>
    </row>
    <row r="22" spans="1:9" x14ac:dyDescent="0.35">
      <c r="A22" s="43"/>
      <c r="B22" s="45"/>
      <c r="C22" s="43"/>
      <c r="D22" s="43"/>
      <c r="E22" s="43"/>
      <c r="F22" s="43"/>
      <c r="G22" s="44"/>
      <c r="H22" s="43"/>
      <c r="I22" s="43"/>
    </row>
    <row r="23" spans="1:9" x14ac:dyDescent="0.35">
      <c r="A23" s="43"/>
      <c r="B23" s="45"/>
      <c r="C23" s="43"/>
      <c r="D23" s="43"/>
      <c r="E23" s="43"/>
      <c r="F23" s="43"/>
      <c r="G23" s="44"/>
      <c r="H23" s="43"/>
      <c r="I23" s="43"/>
    </row>
    <row r="24" spans="1:9" x14ac:dyDescent="0.35">
      <c r="A24" s="43"/>
      <c r="B24" s="45"/>
      <c r="C24" s="43"/>
      <c r="D24" s="43"/>
      <c r="E24" s="43"/>
      <c r="F24" s="43"/>
      <c r="G24" s="44"/>
      <c r="H24" s="43"/>
      <c r="I24" s="43"/>
    </row>
    <row r="25" spans="1:9" x14ac:dyDescent="0.35">
      <c r="A25" s="43"/>
      <c r="B25" s="45"/>
      <c r="C25" s="43"/>
      <c r="D25" s="43"/>
      <c r="E25" s="43"/>
      <c r="F25" s="43"/>
      <c r="G25" s="44"/>
      <c r="H25" s="43"/>
      <c r="I25" s="43"/>
    </row>
    <row r="26" spans="1:9" x14ac:dyDescent="0.35">
      <c r="A26" s="43"/>
      <c r="B26" s="45"/>
      <c r="C26" s="43"/>
      <c r="D26" s="43"/>
      <c r="E26" s="43"/>
      <c r="F26" s="43"/>
      <c r="G26" s="44"/>
      <c r="H26" s="43"/>
      <c r="I26" s="43"/>
    </row>
    <row r="27" spans="1:9" x14ac:dyDescent="0.35">
      <c r="A27" s="43"/>
      <c r="B27" s="45"/>
      <c r="C27" s="43"/>
      <c r="D27" s="43"/>
      <c r="E27" s="43"/>
      <c r="F27" s="43"/>
      <c r="G27" s="44"/>
      <c r="H27" s="43"/>
      <c r="I27" s="43"/>
    </row>
    <row r="28" spans="1:9" x14ac:dyDescent="0.35">
      <c r="A28" s="43"/>
      <c r="B28" s="45"/>
      <c r="C28" s="43"/>
      <c r="D28" s="43"/>
      <c r="E28" s="43"/>
      <c r="F28" s="43"/>
      <c r="G28" s="44"/>
      <c r="H28" s="43"/>
      <c r="I28" s="43"/>
    </row>
    <row r="29" spans="1:9" x14ac:dyDescent="0.35">
      <c r="A29" s="43"/>
      <c r="B29" s="45"/>
      <c r="C29" s="43"/>
      <c r="D29" s="43"/>
      <c r="E29" s="43"/>
      <c r="F29" s="43"/>
      <c r="G29" s="44"/>
      <c r="H29" s="43"/>
      <c r="I29" s="43"/>
    </row>
    <row r="30" spans="1:9" x14ac:dyDescent="0.35">
      <c r="A30" s="43"/>
      <c r="B30" s="45"/>
      <c r="C30" s="43"/>
      <c r="D30" s="43"/>
      <c r="E30" s="43"/>
      <c r="F30" s="43"/>
      <c r="G30" s="44"/>
      <c r="H30" s="43"/>
      <c r="I30" s="43"/>
    </row>
    <row r="31" spans="1:9" x14ac:dyDescent="0.35">
      <c r="A31" s="43"/>
      <c r="B31" s="45"/>
      <c r="C31" s="43"/>
      <c r="D31" s="43"/>
      <c r="E31" s="43"/>
      <c r="F31" s="43"/>
      <c r="G31" s="44"/>
      <c r="H31" s="43"/>
      <c r="I31" s="43"/>
    </row>
    <row r="32" spans="1:9" x14ac:dyDescent="0.35">
      <c r="A32" s="43"/>
      <c r="B32" s="45"/>
      <c r="C32" s="43"/>
      <c r="D32" s="43"/>
      <c r="E32" s="43"/>
      <c r="F32" s="43"/>
      <c r="G32" s="44"/>
      <c r="H32" s="43"/>
      <c r="I32" s="43"/>
    </row>
    <row r="33" spans="1:9" x14ac:dyDescent="0.35">
      <c r="A33" s="43"/>
      <c r="B33" s="45"/>
      <c r="C33" s="43"/>
      <c r="D33" s="43"/>
      <c r="E33" s="43"/>
      <c r="F33" s="43"/>
      <c r="G33" s="44"/>
      <c r="H33" s="43"/>
      <c r="I33" s="43"/>
    </row>
    <row r="34" spans="1:9" x14ac:dyDescent="0.35">
      <c r="A34" s="43"/>
      <c r="B34" s="45"/>
      <c r="C34" s="43"/>
      <c r="D34" s="43"/>
      <c r="E34" s="43"/>
      <c r="F34" s="43"/>
      <c r="G34" s="44"/>
      <c r="H34" s="43"/>
      <c r="I34" s="43"/>
    </row>
    <row r="35" spans="1:9" x14ac:dyDescent="0.35">
      <c r="A35" s="43"/>
      <c r="B35" s="45"/>
      <c r="C35" s="43"/>
      <c r="D35" s="43"/>
      <c r="E35" s="43"/>
      <c r="F35" s="43"/>
      <c r="G35" s="44"/>
      <c r="H35" s="43"/>
      <c r="I35" s="43"/>
    </row>
    <row r="36" spans="1:9" x14ac:dyDescent="0.35">
      <c r="A36" s="43"/>
      <c r="B36" s="45"/>
      <c r="C36" s="43"/>
      <c r="D36" s="43"/>
      <c r="E36" s="43"/>
      <c r="F36" s="43"/>
      <c r="G36" s="44"/>
      <c r="H36" s="43"/>
      <c r="I36" s="43"/>
    </row>
    <row r="37" spans="1:9" x14ac:dyDescent="0.35">
      <c r="A37" s="43"/>
      <c r="B37" s="45"/>
      <c r="C37" s="43"/>
      <c r="D37" s="43"/>
      <c r="E37" s="43"/>
      <c r="F37" s="43"/>
      <c r="G37" s="44"/>
      <c r="H37" s="43"/>
      <c r="I37" s="43"/>
    </row>
    <row r="38" spans="1:9" x14ac:dyDescent="0.35">
      <c r="A38" s="43"/>
      <c r="B38" s="45"/>
      <c r="C38" s="43"/>
      <c r="D38" s="43"/>
      <c r="E38" s="43"/>
      <c r="F38" s="43"/>
      <c r="G38" s="44"/>
      <c r="H38" s="43"/>
      <c r="I38" s="43"/>
    </row>
    <row r="39" spans="1:9" x14ac:dyDescent="0.35">
      <c r="A39" s="43"/>
      <c r="B39" s="45"/>
      <c r="C39" s="43"/>
      <c r="D39" s="43"/>
      <c r="E39" s="43"/>
      <c r="F39" s="43"/>
      <c r="G39" s="44"/>
      <c r="H39" s="43"/>
      <c r="I39" s="43"/>
    </row>
    <row r="40" spans="1:9" x14ac:dyDescent="0.35">
      <c r="A40" s="43"/>
      <c r="B40" s="45"/>
      <c r="C40" s="43"/>
      <c r="D40" s="43"/>
      <c r="E40" s="43"/>
      <c r="F40" s="43"/>
      <c r="G40" s="44"/>
      <c r="H40" s="43"/>
      <c r="I40" s="43"/>
    </row>
    <row r="41" spans="1:9" x14ac:dyDescent="0.35">
      <c r="A41" s="43"/>
      <c r="B41" s="45"/>
      <c r="C41" s="43"/>
      <c r="D41" s="43"/>
      <c r="E41" s="43"/>
      <c r="F41" s="43"/>
      <c r="G41" s="44"/>
      <c r="H41" s="43"/>
      <c r="I41" s="43"/>
    </row>
    <row r="42" spans="1:9" x14ac:dyDescent="0.35">
      <c r="A42" s="43"/>
      <c r="B42" s="45"/>
      <c r="C42" s="43"/>
      <c r="D42" s="43"/>
      <c r="E42" s="43"/>
      <c r="F42" s="43"/>
      <c r="G42" s="44"/>
      <c r="H42" s="43"/>
      <c r="I42" s="43"/>
    </row>
    <row r="43" spans="1:9" x14ac:dyDescent="0.35">
      <c r="A43" s="43"/>
      <c r="B43" s="45"/>
      <c r="C43" s="43"/>
      <c r="D43" s="43"/>
      <c r="E43" s="43"/>
      <c r="F43" s="43"/>
      <c r="G43" s="44"/>
      <c r="H43" s="43"/>
      <c r="I43" s="43"/>
    </row>
    <row r="44" spans="1:9" x14ac:dyDescent="0.35">
      <c r="A44" s="43"/>
      <c r="B44" s="45"/>
      <c r="C44" s="43"/>
      <c r="D44" s="43"/>
      <c r="E44" s="43"/>
      <c r="F44" s="43"/>
      <c r="G44" s="44"/>
      <c r="H44" s="43"/>
      <c r="I44" s="43"/>
    </row>
    <row r="45" spans="1:9" x14ac:dyDescent="0.35">
      <c r="A45" s="43"/>
      <c r="B45" s="45"/>
      <c r="C45" s="43"/>
      <c r="D45" s="43"/>
      <c r="E45" s="43"/>
      <c r="F45" s="43"/>
      <c r="G45" s="44"/>
      <c r="H45" s="43"/>
      <c r="I45" s="43"/>
    </row>
    <row r="46" spans="1:9" x14ac:dyDescent="0.35">
      <c r="A46" s="43"/>
      <c r="B46" s="45"/>
      <c r="C46" s="43"/>
      <c r="D46" s="43"/>
      <c r="E46" s="43"/>
      <c r="F46" s="43"/>
      <c r="G46" s="44"/>
      <c r="H46" s="43"/>
      <c r="I46" s="43"/>
    </row>
    <row r="47" spans="1:9" x14ac:dyDescent="0.35">
      <c r="A47" s="43"/>
      <c r="B47" s="45"/>
      <c r="C47" s="43"/>
      <c r="D47" s="43"/>
      <c r="E47" s="43"/>
      <c r="F47" s="43"/>
      <c r="G47" s="44"/>
      <c r="H47" s="43"/>
      <c r="I47" s="43"/>
    </row>
    <row r="48" spans="1:9" x14ac:dyDescent="0.35">
      <c r="A48" s="43"/>
      <c r="B48" s="45"/>
      <c r="C48" s="43"/>
      <c r="D48" s="43"/>
      <c r="E48" s="43"/>
      <c r="F48" s="43"/>
      <c r="G48" s="44"/>
      <c r="H48" s="43"/>
      <c r="I48" s="43"/>
    </row>
    <row r="49" spans="1:9" x14ac:dyDescent="0.35">
      <c r="A49" s="43"/>
      <c r="B49" s="45"/>
      <c r="C49" s="43"/>
      <c r="D49" s="43"/>
      <c r="E49" s="43"/>
      <c r="F49" s="43"/>
      <c r="G49" s="44"/>
      <c r="H49" s="43"/>
      <c r="I49" s="43"/>
    </row>
    <row r="50" spans="1:9" x14ac:dyDescent="0.35">
      <c r="A50" s="43"/>
      <c r="B50" s="45"/>
      <c r="C50" s="43"/>
      <c r="D50" s="43"/>
      <c r="E50" s="43"/>
      <c r="F50" s="43"/>
      <c r="G50" s="44"/>
      <c r="H50" s="43"/>
      <c r="I50" s="43"/>
    </row>
    <row r="51" spans="1:9" x14ac:dyDescent="0.35">
      <c r="A51" s="43"/>
      <c r="B51" s="45"/>
      <c r="C51" s="43"/>
      <c r="D51" s="43"/>
      <c r="E51" s="43"/>
      <c r="F51" s="43"/>
      <c r="G51" s="44"/>
      <c r="H51" s="43"/>
      <c r="I51" s="43"/>
    </row>
    <row r="52" spans="1:9" x14ac:dyDescent="0.35">
      <c r="A52" s="43"/>
      <c r="B52" s="45"/>
      <c r="C52" s="43"/>
      <c r="D52" s="43"/>
      <c r="E52" s="43"/>
      <c r="F52" s="43"/>
      <c r="G52" s="44"/>
      <c r="H52" s="43"/>
      <c r="I52" s="43"/>
    </row>
    <row r="53" spans="1:9" x14ac:dyDescent="0.35">
      <c r="A53" s="43"/>
      <c r="B53" s="45"/>
      <c r="C53" s="43"/>
      <c r="D53" s="43"/>
      <c r="E53" s="43"/>
      <c r="F53" s="43"/>
      <c r="G53" s="44"/>
      <c r="H53" s="43"/>
      <c r="I53" s="43"/>
    </row>
    <row r="54" spans="1:9" x14ac:dyDescent="0.35">
      <c r="A54" s="43"/>
      <c r="B54" s="45"/>
      <c r="C54" s="43"/>
      <c r="D54" s="43"/>
      <c r="E54" s="43"/>
      <c r="F54" s="43"/>
      <c r="G54" s="44"/>
      <c r="H54" s="43"/>
      <c r="I54" s="43"/>
    </row>
    <row r="55" spans="1:9" x14ac:dyDescent="0.35">
      <c r="A55" s="43"/>
      <c r="B55" s="45"/>
      <c r="C55" s="43"/>
      <c r="D55" s="43"/>
      <c r="E55" s="43"/>
      <c r="F55" s="43"/>
      <c r="G55" s="44"/>
      <c r="H55" s="43"/>
      <c r="I55" s="43"/>
    </row>
    <row r="56" spans="1:9" x14ac:dyDescent="0.35">
      <c r="A56" s="43"/>
      <c r="B56" s="45"/>
      <c r="C56" s="43"/>
      <c r="D56" s="43"/>
      <c r="E56" s="43"/>
      <c r="F56" s="43"/>
      <c r="G56" s="44"/>
      <c r="H56" s="43"/>
      <c r="I56" s="43"/>
    </row>
    <row r="57" spans="1:9" x14ac:dyDescent="0.35">
      <c r="A57" s="43"/>
      <c r="B57" s="45"/>
      <c r="C57" s="43"/>
      <c r="D57" s="43"/>
      <c r="E57" s="43"/>
      <c r="F57" s="43"/>
      <c r="G57" s="44"/>
      <c r="H57" s="43"/>
      <c r="I57" s="43"/>
    </row>
    <row r="58" spans="1:9" x14ac:dyDescent="0.35">
      <c r="A58" s="43"/>
      <c r="B58" s="45"/>
      <c r="C58" s="43"/>
      <c r="D58" s="43"/>
      <c r="E58" s="43"/>
      <c r="F58" s="43"/>
      <c r="G58" s="44"/>
      <c r="H58" s="43"/>
      <c r="I58" s="43"/>
    </row>
    <row r="59" spans="1:9" x14ac:dyDescent="0.35">
      <c r="A59" s="43"/>
      <c r="B59" s="45"/>
      <c r="C59" s="43"/>
      <c r="D59" s="43"/>
      <c r="E59" s="43"/>
      <c r="F59" s="43"/>
      <c r="G59" s="44"/>
      <c r="H59" s="43"/>
      <c r="I59" s="43"/>
    </row>
    <row r="60" spans="1:9" x14ac:dyDescent="0.35">
      <c r="A60" s="43"/>
      <c r="B60" s="45"/>
      <c r="C60" s="43"/>
      <c r="D60" s="43"/>
      <c r="E60" s="43"/>
      <c r="F60" s="43"/>
      <c r="G60" s="44"/>
      <c r="H60" s="43"/>
      <c r="I60" s="43"/>
    </row>
    <row r="61" spans="1:9" x14ac:dyDescent="0.35">
      <c r="A61" s="43"/>
      <c r="B61" s="45"/>
      <c r="C61" s="43"/>
      <c r="D61" s="43"/>
      <c r="E61" s="43"/>
      <c r="F61" s="43"/>
      <c r="G61" s="44"/>
      <c r="H61" s="43"/>
      <c r="I61" s="43"/>
    </row>
    <row r="62" spans="1:9" x14ac:dyDescent="0.35">
      <c r="A62" s="43"/>
      <c r="B62" s="45"/>
      <c r="C62" s="43"/>
      <c r="D62" s="43"/>
      <c r="E62" s="43"/>
      <c r="F62" s="43"/>
      <c r="G62" s="44"/>
      <c r="H62" s="43"/>
      <c r="I62" s="43"/>
    </row>
    <row r="63" spans="1:9" x14ac:dyDescent="0.35">
      <c r="A63" s="43"/>
      <c r="B63" s="45"/>
      <c r="C63" s="43"/>
      <c r="D63" s="43"/>
      <c r="E63" s="43"/>
      <c r="F63" s="43"/>
      <c r="G63" s="44"/>
      <c r="H63" s="43"/>
      <c r="I63" s="43"/>
    </row>
    <row r="64" spans="1:9" x14ac:dyDescent="0.35">
      <c r="A64" s="43"/>
      <c r="B64" s="45"/>
      <c r="C64" s="43"/>
      <c r="D64" s="43"/>
      <c r="E64" s="43"/>
      <c r="F64" s="43"/>
      <c r="G64" s="44"/>
      <c r="H64" s="43"/>
      <c r="I64" s="43"/>
    </row>
    <row r="65" spans="1:9" x14ac:dyDescent="0.35">
      <c r="A65" s="43"/>
      <c r="B65" s="45"/>
      <c r="C65" s="43"/>
      <c r="D65" s="43"/>
      <c r="E65" s="43"/>
      <c r="F65" s="43"/>
      <c r="G65" s="44"/>
      <c r="H65" s="43"/>
      <c r="I65" s="43"/>
    </row>
    <row r="66" spans="1:9" x14ac:dyDescent="0.35">
      <c r="A66" s="43"/>
      <c r="B66" s="45"/>
      <c r="C66" s="43"/>
      <c r="D66" s="43"/>
      <c r="E66" s="43"/>
      <c r="F66" s="43"/>
      <c r="G66" s="44"/>
      <c r="H66" s="43"/>
      <c r="I66" s="43"/>
    </row>
    <row r="67" spans="1:9" x14ac:dyDescent="0.35">
      <c r="A67" s="43"/>
      <c r="B67" s="45"/>
      <c r="C67" s="43"/>
      <c r="D67" s="43"/>
      <c r="E67" s="43"/>
      <c r="F67" s="43"/>
      <c r="G67" s="44"/>
      <c r="H67" s="43"/>
      <c r="I67" s="43"/>
    </row>
    <row r="68" spans="1:9" x14ac:dyDescent="0.35">
      <c r="A68" s="43"/>
      <c r="B68" s="45"/>
      <c r="C68" s="43"/>
      <c r="D68" s="43"/>
      <c r="E68" s="43"/>
      <c r="F68" s="43"/>
      <c r="G68" s="44"/>
      <c r="H68" s="43"/>
      <c r="I68" s="43"/>
    </row>
    <row r="69" spans="1:9" x14ac:dyDescent="0.35">
      <c r="A69" s="43"/>
      <c r="B69" s="45"/>
      <c r="C69" s="43"/>
      <c r="D69" s="43"/>
      <c r="E69" s="43"/>
      <c r="F69" s="43"/>
      <c r="G69" s="44"/>
      <c r="H69" s="43"/>
      <c r="I69" s="43"/>
    </row>
    <row r="70" spans="1:9" x14ac:dyDescent="0.35">
      <c r="A70" s="43"/>
      <c r="B70" s="45"/>
      <c r="C70" s="43"/>
      <c r="D70" s="43"/>
      <c r="E70" s="43"/>
      <c r="F70" s="43"/>
      <c r="G70" s="44"/>
      <c r="H70" s="43"/>
      <c r="I70" s="43"/>
    </row>
    <row r="71" spans="1:9" x14ac:dyDescent="0.35">
      <c r="A71" s="43"/>
      <c r="B71" s="45"/>
      <c r="C71" s="43"/>
      <c r="D71" s="43"/>
      <c r="E71" s="43"/>
      <c r="F71" s="43"/>
      <c r="G71" s="44"/>
      <c r="H71" s="43"/>
      <c r="I71" s="43"/>
    </row>
    <row r="72" spans="1:9" x14ac:dyDescent="0.35">
      <c r="A72" s="43"/>
      <c r="B72" s="45"/>
      <c r="C72" s="43"/>
      <c r="D72" s="43"/>
      <c r="E72" s="43"/>
      <c r="F72" s="43"/>
      <c r="G72" s="44"/>
      <c r="H72" s="43"/>
      <c r="I72" s="43"/>
    </row>
    <row r="73" spans="1:9" x14ac:dyDescent="0.35">
      <c r="A73" s="43"/>
      <c r="B73" s="45"/>
      <c r="C73" s="43"/>
      <c r="D73" s="43"/>
      <c r="E73" s="43"/>
      <c r="F73" s="43"/>
      <c r="G73" s="44"/>
      <c r="H73" s="43"/>
      <c r="I73" s="43"/>
    </row>
    <row r="74" spans="1:9" x14ac:dyDescent="0.35">
      <c r="A74" s="43"/>
      <c r="B74" s="45"/>
      <c r="C74" s="43"/>
      <c r="D74" s="43"/>
      <c r="E74" s="43"/>
      <c r="F74" s="43"/>
      <c r="G74" s="44"/>
      <c r="H74" s="43"/>
      <c r="I74" s="43"/>
    </row>
    <row r="75" spans="1:9" x14ac:dyDescent="0.35">
      <c r="A75" s="43"/>
      <c r="B75" s="45"/>
      <c r="C75" s="43"/>
      <c r="D75" s="43"/>
      <c r="E75" s="43"/>
      <c r="F75" s="43"/>
      <c r="G75" s="44"/>
      <c r="H75" s="43"/>
      <c r="I75" s="43"/>
    </row>
    <row r="76" spans="1:9" x14ac:dyDescent="0.35">
      <c r="A76" s="43"/>
      <c r="B76" s="45"/>
      <c r="C76" s="43"/>
      <c r="D76" s="43"/>
      <c r="E76" s="43"/>
      <c r="F76" s="43"/>
      <c r="G76" s="44"/>
      <c r="H76" s="43"/>
      <c r="I76" s="43"/>
    </row>
    <row r="77" spans="1:9" x14ac:dyDescent="0.35">
      <c r="A77" s="43"/>
      <c r="B77" s="45"/>
      <c r="C77" s="43"/>
      <c r="D77" s="43"/>
      <c r="E77" s="43"/>
      <c r="F77" s="43"/>
      <c r="G77" s="44"/>
      <c r="H77" s="43"/>
      <c r="I77" s="43"/>
    </row>
    <row r="78" spans="1:9" x14ac:dyDescent="0.35">
      <c r="A78" s="43"/>
      <c r="B78" s="45"/>
      <c r="C78" s="43"/>
      <c r="D78" s="43"/>
      <c r="E78" s="43"/>
      <c r="F78" s="43"/>
      <c r="G78" s="44"/>
      <c r="H78" s="43"/>
      <c r="I78" s="43"/>
    </row>
    <row r="79" spans="1:9" x14ac:dyDescent="0.35">
      <c r="A79" s="43"/>
      <c r="B79" s="45"/>
      <c r="C79" s="43"/>
      <c r="D79" s="43"/>
      <c r="E79" s="43"/>
      <c r="F79" s="43"/>
      <c r="G79" s="44"/>
      <c r="H79" s="43"/>
      <c r="I79" s="43"/>
    </row>
    <row r="80" spans="1:9" x14ac:dyDescent="0.35">
      <c r="A80" s="43"/>
      <c r="B80" s="45"/>
      <c r="C80" s="43"/>
      <c r="D80" s="43"/>
      <c r="E80" s="43"/>
      <c r="F80" s="43"/>
      <c r="G80" s="44"/>
      <c r="H80" s="43"/>
      <c r="I80" s="43"/>
    </row>
    <row r="81" spans="1:9" x14ac:dyDescent="0.35">
      <c r="A81" s="43"/>
      <c r="B81" s="45"/>
      <c r="C81" s="43"/>
      <c r="D81" s="43"/>
      <c r="E81" s="43"/>
      <c r="F81" s="43"/>
      <c r="G81" s="44"/>
      <c r="H81" s="43"/>
      <c r="I81" s="43"/>
    </row>
    <row r="82" spans="1:9" x14ac:dyDescent="0.35">
      <c r="A82" s="43"/>
      <c r="B82" s="45"/>
      <c r="C82" s="43"/>
      <c r="D82" s="43"/>
      <c r="E82" s="43"/>
      <c r="F82" s="43"/>
      <c r="G82" s="44"/>
      <c r="H82" s="43"/>
      <c r="I82" s="43"/>
    </row>
    <row r="83" spans="1:9" x14ac:dyDescent="0.35">
      <c r="A83" s="43"/>
      <c r="B83" s="45"/>
      <c r="C83" s="43"/>
      <c r="D83" s="43"/>
      <c r="E83" s="43"/>
      <c r="F83" s="43"/>
      <c r="G83" s="44"/>
      <c r="H83" s="43"/>
      <c r="I83" s="43"/>
    </row>
    <row r="84" spans="1:9" x14ac:dyDescent="0.35">
      <c r="A84" s="43"/>
      <c r="B84" s="45"/>
      <c r="C84" s="43"/>
      <c r="D84" s="43"/>
      <c r="E84" s="43"/>
      <c r="F84" s="43"/>
      <c r="G84" s="44"/>
      <c r="H84" s="43"/>
      <c r="I84" s="43"/>
    </row>
    <row r="85" spans="1:9" x14ac:dyDescent="0.35">
      <c r="A85" s="43"/>
      <c r="B85" s="45"/>
      <c r="C85" s="43"/>
      <c r="D85" s="43"/>
      <c r="E85" s="43"/>
      <c r="F85" s="43"/>
      <c r="G85" s="44"/>
      <c r="H85" s="43"/>
      <c r="I85" s="43"/>
    </row>
    <row r="86" spans="1:9" x14ac:dyDescent="0.35">
      <c r="A86" s="43"/>
      <c r="B86" s="45"/>
      <c r="C86" s="43"/>
      <c r="D86" s="43"/>
      <c r="E86" s="43"/>
      <c r="F86" s="43"/>
      <c r="G86" s="44"/>
      <c r="H86" s="43"/>
      <c r="I86" s="43"/>
    </row>
    <row r="87" spans="1:9" x14ac:dyDescent="0.35">
      <c r="A87" s="43"/>
      <c r="B87" s="45"/>
      <c r="C87" s="43"/>
      <c r="D87" s="43"/>
      <c r="E87" s="43"/>
      <c r="F87" s="43"/>
      <c r="G87" s="44"/>
      <c r="H87" s="43"/>
      <c r="I87" s="43"/>
    </row>
    <row r="88" spans="1:9" x14ac:dyDescent="0.35">
      <c r="A88" s="43"/>
      <c r="B88" s="45"/>
      <c r="C88" s="43"/>
      <c r="D88" s="43"/>
      <c r="E88" s="43"/>
      <c r="F88" s="43"/>
      <c r="G88" s="44"/>
      <c r="H88" s="43"/>
      <c r="I88" s="43"/>
    </row>
    <row r="89" spans="1:9" x14ac:dyDescent="0.35">
      <c r="A89" s="43"/>
      <c r="B89" s="45"/>
      <c r="C89" s="43"/>
      <c r="D89" s="43"/>
      <c r="E89" s="43"/>
      <c r="F89" s="43"/>
      <c r="G89" s="44"/>
      <c r="H89" s="43"/>
      <c r="I89" s="43"/>
    </row>
    <row r="90" spans="1:9" x14ac:dyDescent="0.35">
      <c r="A90" s="43"/>
      <c r="B90" s="45"/>
      <c r="C90" s="43"/>
      <c r="D90" s="43"/>
      <c r="E90" s="43"/>
      <c r="F90" s="43"/>
      <c r="G90" s="44"/>
      <c r="H90" s="43"/>
      <c r="I90" s="43"/>
    </row>
    <row r="91" spans="1:9" x14ac:dyDescent="0.35">
      <c r="A91" s="43"/>
      <c r="B91" s="45"/>
      <c r="C91" s="43"/>
      <c r="D91" s="43"/>
      <c r="E91" s="43"/>
      <c r="F91" s="43"/>
      <c r="G91" s="44"/>
      <c r="H91" s="43"/>
      <c r="I91" s="43"/>
    </row>
    <row r="92" spans="1:9" x14ac:dyDescent="0.35">
      <c r="A92" s="43"/>
      <c r="B92" s="45"/>
      <c r="C92" s="43"/>
      <c r="D92" s="43"/>
      <c r="E92" s="43"/>
      <c r="F92" s="43"/>
      <c r="G92" s="44"/>
      <c r="H92" s="43"/>
      <c r="I92" s="43"/>
    </row>
    <row r="93" spans="1:9" x14ac:dyDescent="0.35">
      <c r="A93" s="43"/>
      <c r="B93" s="45"/>
      <c r="C93" s="43"/>
      <c r="D93" s="43"/>
      <c r="E93" s="43"/>
      <c r="F93" s="43"/>
      <c r="G93" s="44"/>
      <c r="H93" s="43"/>
      <c r="I93" s="43"/>
    </row>
    <row r="94" spans="1:9" x14ac:dyDescent="0.35">
      <c r="A94" s="43"/>
      <c r="B94" s="45"/>
      <c r="C94" s="43"/>
      <c r="D94" s="43"/>
      <c r="E94" s="43"/>
      <c r="F94" s="43"/>
      <c r="G94" s="44"/>
      <c r="H94" s="43"/>
      <c r="I94" s="43"/>
    </row>
    <row r="95" spans="1:9" x14ac:dyDescent="0.35">
      <c r="A95" s="43"/>
      <c r="B95" s="45"/>
      <c r="C95" s="43"/>
      <c r="D95" s="43"/>
      <c r="E95" s="43"/>
      <c r="F95" s="43"/>
      <c r="G95" s="44"/>
      <c r="H95" s="43"/>
      <c r="I95" s="43"/>
    </row>
    <row r="96" spans="1:9" x14ac:dyDescent="0.35">
      <c r="A96" s="43"/>
      <c r="B96" s="45"/>
      <c r="C96" s="43"/>
      <c r="D96" s="43"/>
      <c r="E96" s="43"/>
      <c r="F96" s="43"/>
      <c r="G96" s="44"/>
      <c r="H96" s="43"/>
      <c r="I96" s="43"/>
    </row>
    <row r="97" spans="1:9" x14ac:dyDescent="0.35">
      <c r="A97" s="43"/>
      <c r="B97" s="45"/>
      <c r="C97" s="43"/>
      <c r="D97" s="43"/>
      <c r="E97" s="43"/>
      <c r="F97" s="43"/>
      <c r="G97" s="44"/>
      <c r="H97" s="43"/>
      <c r="I97" s="43"/>
    </row>
    <row r="98" spans="1:9" x14ac:dyDescent="0.35">
      <c r="A98" s="43"/>
      <c r="B98" s="45"/>
      <c r="C98" s="43"/>
      <c r="D98" s="43"/>
      <c r="E98" s="43"/>
      <c r="F98" s="43"/>
      <c r="G98" s="44"/>
      <c r="H98" s="43"/>
      <c r="I98" s="43"/>
    </row>
    <row r="99" spans="1:9" x14ac:dyDescent="0.35">
      <c r="A99" s="43"/>
      <c r="B99" s="45"/>
      <c r="C99" s="43"/>
      <c r="D99" s="43"/>
      <c r="E99" s="43"/>
      <c r="F99" s="43"/>
      <c r="G99" s="44"/>
      <c r="H99" s="43"/>
      <c r="I99" s="43"/>
    </row>
    <row r="100" spans="1:9" x14ac:dyDescent="0.35">
      <c r="B100" s="42" t="s">
        <v>55</v>
      </c>
      <c r="G100" s="41" t="e">
        <f>SUM(#REF!,#REF!)</f>
        <v>#REF!</v>
      </c>
    </row>
    <row r="104" spans="1:9" s="40" customFormat="1" x14ac:dyDescent="0.35">
      <c r="A104" s="38"/>
      <c r="B104" s="10"/>
      <c r="C104" s="10"/>
      <c r="D104" s="10"/>
      <c r="E104" s="10"/>
      <c r="F104" s="10"/>
      <c r="G104" s="39"/>
      <c r="H104" s="38"/>
      <c r="I104" s="10"/>
    </row>
  </sheetData>
  <mergeCells count="6">
    <mergeCell ref="G5:I5"/>
    <mergeCell ref="A2:B2"/>
    <mergeCell ref="C2:D2"/>
    <mergeCell ref="E2:F2"/>
    <mergeCell ref="G2:I2"/>
    <mergeCell ref="A4:I4"/>
  </mergeCells>
  <pageMargins left="0.75" right="0.15748031496063" top="0.37992125999999998" bottom="0.47" header="0.196850393700787" footer="0.17"/>
  <pageSetup paperSize="9" orientation="landscape" r:id="rId1"/>
  <headerFooter alignWithMargins="0">
    <oddFooter>&amp;C&amp;P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13"/>
  <sheetViews>
    <sheetView topLeftCell="A4" workbookViewId="0">
      <selection activeCell="J4" sqref="J4"/>
    </sheetView>
  </sheetViews>
  <sheetFormatPr defaultColWidth="9.08984375" defaultRowHeight="15.5" x14ac:dyDescent="0.35"/>
  <cols>
    <col min="1" max="1" width="4.90625" style="8" customWidth="1"/>
    <col min="2" max="2" width="31.90625" style="1" customWidth="1"/>
    <col min="3" max="3" width="15.453125" style="9" customWidth="1"/>
    <col min="4" max="4" width="15.36328125" style="9" customWidth="1"/>
    <col min="5" max="5" width="10.90625" style="9" customWidth="1"/>
    <col min="6" max="6" width="14" style="1" customWidth="1"/>
    <col min="7" max="7" width="11.6328125" style="1" customWidth="1"/>
    <col min="8" max="8" width="11.08984375" style="1" customWidth="1"/>
    <col min="9" max="9" width="13.90625" style="1" customWidth="1"/>
    <col min="10" max="10" width="13.08984375" style="1" customWidth="1"/>
    <col min="11" max="11" width="8.36328125" style="1" customWidth="1"/>
    <col min="12" max="16384" width="9.08984375" style="1"/>
  </cols>
  <sheetData>
    <row r="1" spans="1:10" ht="32.25" customHeight="1" x14ac:dyDescent="0.35">
      <c r="A1" s="723" t="s">
        <v>557</v>
      </c>
      <c r="B1" s="723"/>
      <c r="C1" s="723"/>
      <c r="D1" s="723"/>
      <c r="E1" s="723"/>
      <c r="F1" s="723"/>
      <c r="G1" s="723"/>
      <c r="H1" s="723"/>
      <c r="I1" s="723"/>
      <c r="J1" s="723"/>
    </row>
    <row r="2" spans="1:10" ht="19.5" customHeight="1" x14ac:dyDescent="0.35">
      <c r="A2" s="2"/>
      <c r="B2" s="3"/>
      <c r="C2" s="4"/>
      <c r="D2" s="4"/>
      <c r="E2" s="4"/>
      <c r="F2" s="3"/>
      <c r="G2" s="3"/>
      <c r="H2" s="719" t="s">
        <v>71</v>
      </c>
      <c r="I2" s="719"/>
      <c r="J2" s="719"/>
    </row>
    <row r="3" spans="1:10" ht="51" customHeight="1" x14ac:dyDescent="0.35">
      <c r="A3" s="425" t="s">
        <v>2</v>
      </c>
      <c r="B3" s="425" t="s">
        <v>3</v>
      </c>
      <c r="C3" s="425" t="s">
        <v>72</v>
      </c>
      <c r="D3" s="426" t="s">
        <v>73</v>
      </c>
      <c r="E3" s="427" t="s">
        <v>4</v>
      </c>
      <c r="F3" s="426" t="s">
        <v>5</v>
      </c>
      <c r="G3" s="426" t="s">
        <v>74</v>
      </c>
      <c r="H3" s="426" t="s">
        <v>6</v>
      </c>
      <c r="I3" s="426" t="s">
        <v>75</v>
      </c>
      <c r="J3" s="426" t="s">
        <v>7</v>
      </c>
    </row>
    <row r="4" spans="1:10" s="62" customFormat="1" ht="18" customHeight="1" x14ac:dyDescent="0.35">
      <c r="A4" s="425" t="s">
        <v>558</v>
      </c>
      <c r="B4" s="425" t="s">
        <v>559</v>
      </c>
      <c r="C4" s="425"/>
      <c r="D4" s="425"/>
      <c r="E4" s="425"/>
      <c r="F4" s="428"/>
      <c r="G4" s="428"/>
      <c r="H4" s="428"/>
      <c r="I4" s="428">
        <f>I5+I7+I9</f>
        <v>135605.781613</v>
      </c>
      <c r="J4" s="429" t="s">
        <v>431</v>
      </c>
    </row>
    <row r="5" spans="1:10" s="62" customFormat="1" ht="17.25" customHeight="1" x14ac:dyDescent="0.35">
      <c r="A5" s="430" t="s">
        <v>8</v>
      </c>
      <c r="B5" s="431" t="s">
        <v>77</v>
      </c>
      <c r="C5" s="430"/>
      <c r="D5" s="430"/>
      <c r="E5" s="430"/>
      <c r="F5" s="432"/>
      <c r="G5" s="432"/>
      <c r="H5" s="432"/>
      <c r="I5" s="433">
        <f>I6</f>
        <v>132839.37</v>
      </c>
      <c r="J5" s="434">
        <v>50000</v>
      </c>
    </row>
    <row r="6" spans="1:10" s="68" customFormat="1" ht="33" x14ac:dyDescent="0.35">
      <c r="A6" s="435">
        <v>1</v>
      </c>
      <c r="B6" s="436" t="s">
        <v>78</v>
      </c>
      <c r="C6" s="437" t="s">
        <v>79</v>
      </c>
      <c r="D6" s="437" t="s">
        <v>80</v>
      </c>
      <c r="E6" s="435">
        <v>2019</v>
      </c>
      <c r="F6" s="438">
        <v>266228.05</v>
      </c>
      <c r="G6" s="439">
        <v>153679</v>
      </c>
      <c r="H6" s="440">
        <v>133388.68</v>
      </c>
      <c r="I6" s="441">
        <f>+F6-H6</f>
        <v>132839.37</v>
      </c>
      <c r="J6" s="442" t="s">
        <v>431</v>
      </c>
    </row>
    <row r="7" spans="1:10" s="68" customFormat="1" ht="16.5" x14ac:dyDescent="0.35">
      <c r="A7" s="443" t="s">
        <v>81</v>
      </c>
      <c r="B7" s="444" t="s">
        <v>82</v>
      </c>
      <c r="C7" s="445"/>
      <c r="D7" s="445"/>
      <c r="E7" s="445"/>
      <c r="F7" s="446"/>
      <c r="G7" s="447"/>
      <c r="H7" s="448"/>
      <c r="I7" s="449">
        <v>1840</v>
      </c>
      <c r="J7" s="442" t="s">
        <v>431</v>
      </c>
    </row>
    <row r="8" spans="1:10" s="68" customFormat="1" ht="33" x14ac:dyDescent="0.35">
      <c r="A8" s="450">
        <v>1</v>
      </c>
      <c r="B8" s="451" t="s">
        <v>83</v>
      </c>
      <c r="C8" s="437" t="s">
        <v>84</v>
      </c>
      <c r="D8" s="437" t="s">
        <v>96</v>
      </c>
      <c r="E8" s="445">
        <v>2018</v>
      </c>
      <c r="F8" s="438">
        <v>4057</v>
      </c>
      <c r="G8" s="452">
        <v>2600</v>
      </c>
      <c r="H8" s="453">
        <v>2217</v>
      </c>
      <c r="I8" s="454">
        <f>+F8-H8</f>
        <v>1840</v>
      </c>
      <c r="J8" s="455" t="s">
        <v>431</v>
      </c>
    </row>
    <row r="9" spans="1:10" s="73" customFormat="1" ht="31.25" customHeight="1" x14ac:dyDescent="0.35">
      <c r="A9" s="456" t="s">
        <v>560</v>
      </c>
      <c r="B9" s="720" t="s">
        <v>561</v>
      </c>
      <c r="C9" s="721"/>
      <c r="D9" s="722"/>
      <c r="E9" s="457"/>
      <c r="F9" s="458"/>
      <c r="G9" s="459"/>
      <c r="H9" s="460"/>
      <c r="I9" s="461">
        <f>I10+I11</f>
        <v>926.41161299999999</v>
      </c>
      <c r="J9" s="461">
        <f>SUM(J10:J11)</f>
        <v>926.41161299999999</v>
      </c>
    </row>
    <row r="10" spans="1:10" s="73" customFormat="1" ht="49.5" x14ac:dyDescent="0.35">
      <c r="A10" s="462">
        <v>1</v>
      </c>
      <c r="B10" s="463" t="s">
        <v>9</v>
      </c>
      <c r="C10" s="464" t="s">
        <v>10</v>
      </c>
      <c r="D10" s="462" t="s">
        <v>85</v>
      </c>
      <c r="E10" s="465">
        <v>2022</v>
      </c>
      <c r="F10" s="466">
        <v>3495</v>
      </c>
      <c r="G10" s="459">
        <v>3404.0450679999999</v>
      </c>
      <c r="H10" s="460">
        <f>G10-I10</f>
        <v>2775.8894890000001</v>
      </c>
      <c r="I10" s="467">
        <v>628.15557899999999</v>
      </c>
      <c r="J10" s="467">
        <f>I10</f>
        <v>628.15557899999999</v>
      </c>
    </row>
    <row r="11" spans="1:10" s="73" customFormat="1" ht="49.5" x14ac:dyDescent="0.35">
      <c r="A11" s="468">
        <v>2</v>
      </c>
      <c r="B11" s="469" t="s">
        <v>11</v>
      </c>
      <c r="C11" s="470" t="s">
        <v>12</v>
      </c>
      <c r="D11" s="470" t="s">
        <v>86</v>
      </c>
      <c r="E11" s="471">
        <v>2022</v>
      </c>
      <c r="F11" s="472">
        <v>1997</v>
      </c>
      <c r="G11" s="473">
        <v>1816.145806</v>
      </c>
      <c r="H11" s="474">
        <f>G11-I11</f>
        <v>1517.889772</v>
      </c>
      <c r="I11" s="475">
        <v>298.256034</v>
      </c>
      <c r="J11" s="475">
        <f>I11</f>
        <v>298.256034</v>
      </c>
    </row>
    <row r="12" spans="1:10" x14ac:dyDescent="0.35">
      <c r="A12" s="422"/>
      <c r="B12" s="423"/>
      <c r="C12" s="424"/>
      <c r="D12" s="424"/>
      <c r="E12" s="424"/>
      <c r="F12" s="423"/>
      <c r="G12" s="423"/>
      <c r="H12" s="423"/>
      <c r="I12" s="423"/>
      <c r="J12" s="423"/>
    </row>
    <row r="13" spans="1:10" ht="33" customHeight="1" x14ac:dyDescent="0.35"/>
  </sheetData>
  <mergeCells count="3">
    <mergeCell ref="H2:J2"/>
    <mergeCell ref="B9:D9"/>
    <mergeCell ref="A1:J1"/>
  </mergeCells>
  <pageMargins left="0.3" right="0" top="0.25" bottom="0.19" header="0.2" footer="0.3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41"/>
  <sheetViews>
    <sheetView topLeftCell="A30" zoomScale="85" zoomScaleNormal="85" workbookViewId="0">
      <selection activeCell="D13" sqref="D13"/>
    </sheetView>
  </sheetViews>
  <sheetFormatPr defaultColWidth="9.08984375" defaultRowHeight="14" x14ac:dyDescent="0.3"/>
  <cols>
    <col min="1" max="1" width="5.54296875" style="11" customWidth="1"/>
    <col min="2" max="2" width="28" style="11" customWidth="1"/>
    <col min="3" max="3" width="21.6328125" style="11" hidden="1" customWidth="1"/>
    <col min="4" max="4" width="9.08984375" style="108"/>
    <col min="5" max="6" width="7.90625" style="108" customWidth="1"/>
    <col min="7" max="7" width="8.36328125" style="108" customWidth="1"/>
    <col min="8" max="8" width="17.6328125" style="11" customWidth="1"/>
    <col min="9" max="9" width="19" style="128" customWidth="1"/>
    <col min="10" max="10" width="34.6328125" style="120" customWidth="1"/>
    <col min="11" max="11" width="21" style="120" customWidth="1"/>
    <col min="12" max="16384" width="9.08984375" style="11"/>
  </cols>
  <sheetData>
    <row r="1" spans="1:12" ht="15.5" x14ac:dyDescent="0.3">
      <c r="A1" s="727" t="s">
        <v>119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10"/>
    </row>
    <row r="2" spans="1:12" ht="15.5" x14ac:dyDescent="0.3">
      <c r="A2" s="727"/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10"/>
    </row>
    <row r="3" spans="1:12" ht="15.5" x14ac:dyDescent="0.3">
      <c r="A3" s="10"/>
      <c r="B3" s="10"/>
      <c r="C3" s="10"/>
      <c r="D3" s="38"/>
      <c r="E3" s="38"/>
      <c r="F3" s="38"/>
      <c r="G3" s="38"/>
      <c r="H3" s="10"/>
      <c r="I3" s="728" t="s">
        <v>1</v>
      </c>
      <c r="J3" s="728"/>
      <c r="K3" s="728"/>
      <c r="L3" s="10"/>
    </row>
    <row r="4" spans="1:12" ht="15.5" x14ac:dyDescent="0.3">
      <c r="A4" s="729" t="s">
        <v>16</v>
      </c>
      <c r="B4" s="730" t="s">
        <v>17</v>
      </c>
      <c r="C4" s="730" t="s">
        <v>18</v>
      </c>
      <c r="D4" s="729" t="s">
        <v>19</v>
      </c>
      <c r="E4" s="732" t="s">
        <v>20</v>
      </c>
      <c r="F4" s="733"/>
      <c r="G4" s="734"/>
      <c r="H4" s="729" t="s">
        <v>21</v>
      </c>
      <c r="I4" s="729"/>
      <c r="J4" s="735" t="s">
        <v>101</v>
      </c>
      <c r="K4" s="735" t="s">
        <v>102</v>
      </c>
      <c r="L4" s="10"/>
    </row>
    <row r="5" spans="1:12" ht="30" x14ac:dyDescent="0.3">
      <c r="A5" s="730"/>
      <c r="B5" s="731"/>
      <c r="C5" s="731"/>
      <c r="D5" s="730"/>
      <c r="E5" s="724" t="s">
        <v>23</v>
      </c>
      <c r="F5" s="725"/>
      <c r="G5" s="12" t="s">
        <v>24</v>
      </c>
      <c r="H5" s="12" t="s">
        <v>25</v>
      </c>
      <c r="I5" s="125" t="s">
        <v>26</v>
      </c>
      <c r="J5" s="736"/>
      <c r="K5" s="736"/>
      <c r="L5" s="10"/>
    </row>
    <row r="6" spans="1:12" ht="15.5" x14ac:dyDescent="0.3">
      <c r="A6" s="13"/>
      <c r="B6" s="13"/>
      <c r="C6" s="13"/>
      <c r="D6" s="94"/>
      <c r="E6" s="14" t="s">
        <v>27</v>
      </c>
      <c r="F6" s="14" t="s">
        <v>28</v>
      </c>
      <c r="G6" s="94"/>
      <c r="H6" s="82"/>
      <c r="I6" s="82"/>
      <c r="J6" s="116"/>
      <c r="K6" s="116"/>
      <c r="L6" s="10"/>
    </row>
    <row r="7" spans="1:12" ht="15.5" x14ac:dyDescent="0.3">
      <c r="A7" s="114" t="s">
        <v>8</v>
      </c>
      <c r="B7" s="743" t="s">
        <v>113</v>
      </c>
      <c r="C7" s="744"/>
      <c r="D7" s="744"/>
      <c r="E7" s="744"/>
      <c r="F7" s="744"/>
      <c r="G7" s="744"/>
      <c r="H7" s="745"/>
      <c r="I7" s="130">
        <f>SUM(I8:I22)</f>
        <v>457000000</v>
      </c>
      <c r="J7" s="116"/>
      <c r="K7" s="116"/>
      <c r="L7" s="10"/>
    </row>
    <row r="8" spans="1:12" ht="31" x14ac:dyDescent="0.3">
      <c r="A8" s="15">
        <v>1</v>
      </c>
      <c r="B8" s="16" t="s">
        <v>29</v>
      </c>
      <c r="C8" s="15"/>
      <c r="D8" s="15" t="s">
        <v>30</v>
      </c>
      <c r="E8" s="20">
        <v>4</v>
      </c>
      <c r="F8" s="20">
        <v>0</v>
      </c>
      <c r="G8" s="20">
        <v>1</v>
      </c>
      <c r="H8" s="17">
        <v>15000000</v>
      </c>
      <c r="I8" s="17">
        <v>15000000</v>
      </c>
      <c r="J8" s="16" t="s">
        <v>106</v>
      </c>
      <c r="K8" s="16" t="s">
        <v>31</v>
      </c>
      <c r="L8" s="10"/>
    </row>
    <row r="9" spans="1:12" ht="15.5" x14ac:dyDescent="0.3">
      <c r="A9" s="15">
        <v>2</v>
      </c>
      <c r="B9" s="18" t="s">
        <v>29</v>
      </c>
      <c r="C9" s="15"/>
      <c r="D9" s="15" t="s">
        <v>30</v>
      </c>
      <c r="E9" s="20">
        <v>5</v>
      </c>
      <c r="F9" s="20">
        <v>1</v>
      </c>
      <c r="G9" s="20">
        <v>1</v>
      </c>
      <c r="H9" s="83">
        <v>15000000</v>
      </c>
      <c r="I9" s="126">
        <v>15000000</v>
      </c>
      <c r="J9" s="16" t="s">
        <v>32</v>
      </c>
      <c r="K9" s="16" t="s">
        <v>33</v>
      </c>
      <c r="L9" s="10"/>
    </row>
    <row r="10" spans="1:12" ht="15.5" x14ac:dyDescent="0.35">
      <c r="A10" s="15">
        <v>3</v>
      </c>
      <c r="B10" s="16" t="s">
        <v>29</v>
      </c>
      <c r="C10" s="15"/>
      <c r="D10" s="19" t="s">
        <v>34</v>
      </c>
      <c r="E10" s="20">
        <v>5</v>
      </c>
      <c r="F10" s="20">
        <v>5</v>
      </c>
      <c r="G10" s="20">
        <v>5</v>
      </c>
      <c r="H10" s="83">
        <v>15000000</v>
      </c>
      <c r="I10" s="126">
        <v>75000000</v>
      </c>
      <c r="J10" s="16" t="s">
        <v>32</v>
      </c>
      <c r="K10" s="16" t="s">
        <v>35</v>
      </c>
      <c r="L10" s="10"/>
    </row>
    <row r="11" spans="1:12" ht="15.5" x14ac:dyDescent="0.3">
      <c r="A11" s="15">
        <v>4</v>
      </c>
      <c r="B11" s="89" t="s">
        <v>29</v>
      </c>
      <c r="C11" s="15"/>
      <c r="D11" s="90" t="s">
        <v>34</v>
      </c>
      <c r="E11" s="20">
        <v>3</v>
      </c>
      <c r="F11" s="20">
        <v>1</v>
      </c>
      <c r="G11" s="20">
        <v>1</v>
      </c>
      <c r="H11" s="83">
        <v>15000000</v>
      </c>
      <c r="I11" s="126">
        <v>15000000</v>
      </c>
      <c r="J11" s="16" t="s">
        <v>32</v>
      </c>
      <c r="K11" s="16" t="s">
        <v>36</v>
      </c>
      <c r="L11" s="10"/>
    </row>
    <row r="12" spans="1:12" ht="15.5" x14ac:dyDescent="0.3">
      <c r="A12" s="15">
        <v>5</v>
      </c>
      <c r="B12" s="109" t="s">
        <v>29</v>
      </c>
      <c r="C12" s="30"/>
      <c r="D12" s="94" t="s">
        <v>30</v>
      </c>
      <c r="E12" s="20">
        <v>3</v>
      </c>
      <c r="F12" s="94">
        <v>1</v>
      </c>
      <c r="G12" s="94">
        <v>1</v>
      </c>
      <c r="H12" s="87">
        <v>15000000</v>
      </c>
      <c r="I12" s="29">
        <v>15000000</v>
      </c>
      <c r="J12" s="16" t="s">
        <v>32</v>
      </c>
      <c r="K12" s="89" t="s">
        <v>33</v>
      </c>
      <c r="L12" s="10"/>
    </row>
    <row r="13" spans="1:12" ht="15.5" x14ac:dyDescent="0.3">
      <c r="A13" s="15">
        <v>6</v>
      </c>
      <c r="B13" s="109" t="s">
        <v>29</v>
      </c>
      <c r="C13" s="26"/>
      <c r="D13" s="94" t="s">
        <v>405</v>
      </c>
      <c r="E13" s="20">
        <v>3</v>
      </c>
      <c r="F13" s="121">
        <v>2</v>
      </c>
      <c r="G13" s="106">
        <v>2</v>
      </c>
      <c r="H13" s="86">
        <v>15000000</v>
      </c>
      <c r="I13" s="86">
        <f>G13*H13</f>
        <v>30000000</v>
      </c>
      <c r="J13" s="16" t="s">
        <v>32</v>
      </c>
      <c r="K13" s="16" t="s">
        <v>118</v>
      </c>
      <c r="L13" s="10"/>
    </row>
    <row r="14" spans="1:12" ht="15.5" x14ac:dyDescent="0.3">
      <c r="A14" s="15">
        <v>7</v>
      </c>
      <c r="B14" s="109" t="s">
        <v>29</v>
      </c>
      <c r="C14" s="15"/>
      <c r="D14" s="106" t="s">
        <v>34</v>
      </c>
      <c r="E14" s="20">
        <v>12</v>
      </c>
      <c r="F14" s="20">
        <v>2</v>
      </c>
      <c r="G14" s="20">
        <v>2</v>
      </c>
      <c r="H14" s="17">
        <v>15000000</v>
      </c>
      <c r="I14" s="17">
        <v>30000000</v>
      </c>
      <c r="J14" s="16" t="s">
        <v>32</v>
      </c>
      <c r="K14" s="16" t="s">
        <v>46</v>
      </c>
      <c r="L14" s="10"/>
    </row>
    <row r="15" spans="1:12" ht="31" x14ac:dyDescent="0.3">
      <c r="A15" s="15">
        <v>8</v>
      </c>
      <c r="B15" s="50" t="s">
        <v>29</v>
      </c>
      <c r="C15" s="79"/>
      <c r="D15" s="21" t="s">
        <v>30</v>
      </c>
      <c r="E15" s="20">
        <v>18</v>
      </c>
      <c r="F15" s="122">
        <v>0</v>
      </c>
      <c r="G15" s="122">
        <v>2</v>
      </c>
      <c r="H15" s="80">
        <v>15000000</v>
      </c>
      <c r="I15" s="81">
        <v>30000000</v>
      </c>
      <c r="J15" s="16" t="s">
        <v>107</v>
      </c>
      <c r="K15" s="16" t="s">
        <v>39</v>
      </c>
      <c r="L15" s="10"/>
    </row>
    <row r="16" spans="1:12" ht="46.5" x14ac:dyDescent="0.3">
      <c r="A16" s="15">
        <v>9</v>
      </c>
      <c r="B16" s="50" t="s">
        <v>90</v>
      </c>
      <c r="C16" s="78"/>
      <c r="D16" s="21" t="s">
        <v>38</v>
      </c>
      <c r="E16" s="21">
        <v>2</v>
      </c>
      <c r="F16" s="21">
        <v>1</v>
      </c>
      <c r="G16" s="122">
        <v>1</v>
      </c>
      <c r="H16" s="81">
        <v>135000000</v>
      </c>
      <c r="I16" s="81">
        <v>135000000</v>
      </c>
      <c r="J16" s="16" t="s">
        <v>104</v>
      </c>
      <c r="K16" s="16" t="s">
        <v>103</v>
      </c>
      <c r="L16" s="10"/>
    </row>
    <row r="17" spans="1:12" s="105" customFormat="1" ht="46.5" x14ac:dyDescent="0.3">
      <c r="A17" s="15">
        <v>10</v>
      </c>
      <c r="B17" s="89" t="s">
        <v>37</v>
      </c>
      <c r="C17" s="15"/>
      <c r="D17" s="106" t="s">
        <v>38</v>
      </c>
      <c r="E17" s="20">
        <v>2</v>
      </c>
      <c r="F17" s="20">
        <v>0</v>
      </c>
      <c r="G17" s="123">
        <v>2</v>
      </c>
      <c r="H17" s="84">
        <v>10000000</v>
      </c>
      <c r="I17" s="126">
        <f>G17*H17</f>
        <v>20000000</v>
      </c>
      <c r="J17" s="16" t="s">
        <v>108</v>
      </c>
      <c r="K17" s="16" t="s">
        <v>39</v>
      </c>
      <c r="L17" s="42"/>
    </row>
    <row r="18" spans="1:12" s="105" customFormat="1" ht="46.5" x14ac:dyDescent="0.3">
      <c r="A18" s="15">
        <v>11</v>
      </c>
      <c r="B18" s="89" t="s">
        <v>37</v>
      </c>
      <c r="C18" s="15"/>
      <c r="D18" s="106" t="s">
        <v>38</v>
      </c>
      <c r="E18" s="20">
        <v>0</v>
      </c>
      <c r="F18" s="20">
        <v>0</v>
      </c>
      <c r="G18" s="123">
        <v>1</v>
      </c>
      <c r="H18" s="84">
        <v>10000000</v>
      </c>
      <c r="I18" s="126">
        <f>G18*H18</f>
        <v>10000000</v>
      </c>
      <c r="J18" s="16" t="s">
        <v>108</v>
      </c>
      <c r="K18" s="16" t="s">
        <v>39</v>
      </c>
      <c r="L18" s="42"/>
    </row>
    <row r="19" spans="1:12" ht="31" x14ac:dyDescent="0.3">
      <c r="A19" s="15">
        <v>12</v>
      </c>
      <c r="B19" s="110" t="s">
        <v>40</v>
      </c>
      <c r="C19" s="78"/>
      <c r="D19" s="21" t="s">
        <v>30</v>
      </c>
      <c r="E19" s="20">
        <v>3</v>
      </c>
      <c r="F19" s="20">
        <v>2</v>
      </c>
      <c r="G19" s="20">
        <v>1</v>
      </c>
      <c r="H19" s="81">
        <v>15000000</v>
      </c>
      <c r="I19" s="126">
        <v>15000000</v>
      </c>
      <c r="J19" s="16" t="s">
        <v>114</v>
      </c>
      <c r="K19" s="16" t="s">
        <v>39</v>
      </c>
      <c r="L19" s="10"/>
    </row>
    <row r="20" spans="1:12" ht="15.5" x14ac:dyDescent="0.3">
      <c r="A20" s="15">
        <v>13</v>
      </c>
      <c r="B20" s="16" t="s">
        <v>37</v>
      </c>
      <c r="C20" s="23"/>
      <c r="D20" s="94" t="s">
        <v>38</v>
      </c>
      <c r="E20" s="38">
        <v>0</v>
      </c>
      <c r="F20" s="124">
        <v>0</v>
      </c>
      <c r="G20" s="95">
        <v>1</v>
      </c>
      <c r="H20" s="85">
        <v>10000000</v>
      </c>
      <c r="I20" s="85">
        <f>G20*H20</f>
        <v>10000000</v>
      </c>
      <c r="J20" s="16" t="s">
        <v>45</v>
      </c>
      <c r="K20" s="16" t="s">
        <v>44</v>
      </c>
      <c r="L20" s="10"/>
    </row>
    <row r="21" spans="1:12" ht="21" customHeight="1" x14ac:dyDescent="0.3">
      <c r="A21" s="15">
        <v>14</v>
      </c>
      <c r="B21" s="16" t="s">
        <v>47</v>
      </c>
      <c r="C21" s="15"/>
      <c r="D21" s="106" t="s">
        <v>48</v>
      </c>
      <c r="E21" s="20">
        <v>1</v>
      </c>
      <c r="F21" s="20">
        <v>1</v>
      </c>
      <c r="G21" s="20">
        <v>1</v>
      </c>
      <c r="H21" s="17">
        <v>10000000</v>
      </c>
      <c r="I21" s="17">
        <f>G21*H21</f>
        <v>10000000</v>
      </c>
      <c r="J21" s="16" t="s">
        <v>45</v>
      </c>
      <c r="K21" s="16" t="s">
        <v>46</v>
      </c>
      <c r="L21" s="10"/>
    </row>
    <row r="22" spans="1:12" ht="31" x14ac:dyDescent="0.3">
      <c r="A22" s="15">
        <v>15</v>
      </c>
      <c r="B22" s="88" t="s">
        <v>49</v>
      </c>
      <c r="C22" s="27"/>
      <c r="D22" s="20" t="s">
        <v>50</v>
      </c>
      <c r="E22" s="20">
        <v>0</v>
      </c>
      <c r="F22" s="20">
        <v>0</v>
      </c>
      <c r="G22" s="20">
        <v>1</v>
      </c>
      <c r="H22" s="29">
        <v>32000000</v>
      </c>
      <c r="I22" s="29">
        <v>32000000</v>
      </c>
      <c r="J22" s="16" t="s">
        <v>115</v>
      </c>
      <c r="K22" s="89" t="s">
        <v>51</v>
      </c>
      <c r="L22" s="10"/>
    </row>
    <row r="23" spans="1:12" ht="15.5" x14ac:dyDescent="0.3">
      <c r="A23" s="97" t="s">
        <v>81</v>
      </c>
      <c r="B23" s="737" t="s">
        <v>110</v>
      </c>
      <c r="C23" s="738"/>
      <c r="D23" s="738"/>
      <c r="E23" s="738"/>
      <c r="F23" s="738"/>
      <c r="G23" s="738"/>
      <c r="H23" s="739"/>
      <c r="I23" s="127">
        <f>SUM(I24:I26)</f>
        <v>380000000</v>
      </c>
      <c r="J23" s="117"/>
      <c r="K23" s="117"/>
      <c r="L23" s="10"/>
    </row>
    <row r="24" spans="1:12" ht="31" x14ac:dyDescent="0.3">
      <c r="A24" s="15">
        <v>1</v>
      </c>
      <c r="B24" s="112" t="s">
        <v>112</v>
      </c>
      <c r="C24" s="78"/>
      <c r="D24" s="21" t="s">
        <v>48</v>
      </c>
      <c r="E24" s="20">
        <v>0</v>
      </c>
      <c r="F24" s="20">
        <v>0</v>
      </c>
      <c r="G24" s="20">
        <v>6</v>
      </c>
      <c r="H24" s="81">
        <v>50000000</v>
      </c>
      <c r="I24" s="126">
        <f>G24*H24</f>
        <v>300000000</v>
      </c>
      <c r="J24" s="118" t="s">
        <v>111</v>
      </c>
      <c r="K24" s="118"/>
      <c r="L24" s="10"/>
    </row>
    <row r="25" spans="1:12" ht="31" x14ac:dyDescent="0.3">
      <c r="A25" s="15">
        <v>2</v>
      </c>
      <c r="B25" s="111" t="s">
        <v>109</v>
      </c>
      <c r="C25" s="77"/>
      <c r="D25" s="92" t="s">
        <v>30</v>
      </c>
      <c r="E25" s="94">
        <v>0</v>
      </c>
      <c r="F25" s="94">
        <v>0</v>
      </c>
      <c r="G25" s="94">
        <v>2</v>
      </c>
      <c r="H25" s="93">
        <v>25000000</v>
      </c>
      <c r="I25" s="126">
        <f>G25*H25</f>
        <v>50000000</v>
      </c>
      <c r="J25" s="118" t="s">
        <v>41</v>
      </c>
      <c r="K25" s="118" t="s">
        <v>39</v>
      </c>
      <c r="L25" s="10"/>
    </row>
    <row r="26" spans="1:12" ht="46.5" x14ac:dyDescent="0.3">
      <c r="A26" s="15">
        <v>3</v>
      </c>
      <c r="B26" s="112" t="s">
        <v>105</v>
      </c>
      <c r="C26" s="78"/>
      <c r="D26" s="21" t="s">
        <v>30</v>
      </c>
      <c r="E26" s="20">
        <v>0</v>
      </c>
      <c r="F26" s="20">
        <v>0</v>
      </c>
      <c r="G26" s="20">
        <v>2</v>
      </c>
      <c r="H26" s="81">
        <v>15000000</v>
      </c>
      <c r="I26" s="126">
        <f>G26*H26</f>
        <v>30000000</v>
      </c>
      <c r="J26" s="16" t="s">
        <v>42</v>
      </c>
      <c r="K26" s="16" t="s">
        <v>39</v>
      </c>
      <c r="L26" s="10"/>
    </row>
    <row r="27" spans="1:12" s="105" customFormat="1" ht="29.25" customHeight="1" x14ac:dyDescent="0.3">
      <c r="A27" s="97" t="s">
        <v>117</v>
      </c>
      <c r="B27" s="740" t="s">
        <v>116</v>
      </c>
      <c r="C27" s="741"/>
      <c r="D27" s="741"/>
      <c r="E27" s="741"/>
      <c r="F27" s="741"/>
      <c r="G27" s="741"/>
      <c r="H27" s="742"/>
      <c r="I27" s="129">
        <f>SUM(I28:I30)</f>
        <v>2110000000</v>
      </c>
      <c r="J27" s="115"/>
      <c r="K27" s="115"/>
      <c r="L27" s="42"/>
    </row>
    <row r="28" spans="1:12" ht="31" x14ac:dyDescent="0.3">
      <c r="A28" s="15">
        <v>1</v>
      </c>
      <c r="B28" s="111" t="s">
        <v>43</v>
      </c>
      <c r="C28" s="107"/>
      <c r="D28" s="92" t="s">
        <v>30</v>
      </c>
      <c r="E28" s="94">
        <v>39</v>
      </c>
      <c r="F28" s="94">
        <v>2</v>
      </c>
      <c r="G28" s="94">
        <v>10</v>
      </c>
      <c r="H28" s="93">
        <v>30000000</v>
      </c>
      <c r="I28" s="126">
        <v>300000000</v>
      </c>
      <c r="J28" s="16" t="s">
        <v>32</v>
      </c>
      <c r="K28" s="16" t="s">
        <v>39</v>
      </c>
      <c r="L28" s="10"/>
    </row>
    <row r="29" spans="1:12" ht="15.5" x14ac:dyDescent="0.3">
      <c r="A29" s="15">
        <v>2</v>
      </c>
      <c r="B29" s="34" t="s">
        <v>52</v>
      </c>
      <c r="C29" s="35"/>
      <c r="D29" s="21" t="s">
        <v>30</v>
      </c>
      <c r="E29" s="31">
        <v>0</v>
      </c>
      <c r="F29" s="31">
        <v>1</v>
      </c>
      <c r="G29" s="35">
        <v>1</v>
      </c>
      <c r="H29" s="36">
        <v>10000000</v>
      </c>
      <c r="I29" s="126">
        <f>H29*G29</f>
        <v>10000000</v>
      </c>
      <c r="J29" s="119" t="s">
        <v>91</v>
      </c>
      <c r="K29" s="89" t="s">
        <v>53</v>
      </c>
      <c r="L29" s="10"/>
    </row>
    <row r="30" spans="1:12" ht="46.5" x14ac:dyDescent="0.3">
      <c r="A30" s="15">
        <v>3</v>
      </c>
      <c r="B30" s="113" t="s">
        <v>94</v>
      </c>
      <c r="C30" s="24"/>
      <c r="D30" s="21" t="s">
        <v>30</v>
      </c>
      <c r="E30" s="31">
        <v>0</v>
      </c>
      <c r="F30" s="31">
        <v>0</v>
      </c>
      <c r="G30" s="33">
        <v>40</v>
      </c>
      <c r="H30" s="32">
        <v>45000000</v>
      </c>
      <c r="I30" s="126">
        <f>G30*H30</f>
        <v>1800000000</v>
      </c>
      <c r="J30" s="113" t="s">
        <v>95</v>
      </c>
      <c r="K30" s="89" t="s">
        <v>39</v>
      </c>
      <c r="L30" s="10"/>
    </row>
    <row r="31" spans="1:12" ht="31" x14ac:dyDescent="0.3">
      <c r="A31" s="15">
        <v>4</v>
      </c>
      <c r="B31" s="113" t="s">
        <v>120</v>
      </c>
      <c r="C31" s="24"/>
      <c r="D31" s="21" t="s">
        <v>48</v>
      </c>
      <c r="E31" s="31">
        <v>0</v>
      </c>
      <c r="F31" s="31">
        <v>0</v>
      </c>
      <c r="G31" s="33">
        <v>1</v>
      </c>
      <c r="H31" s="25">
        <v>400000000</v>
      </c>
      <c r="I31" s="126">
        <f>G31*H31</f>
        <v>400000000</v>
      </c>
      <c r="J31" s="113"/>
      <c r="K31" s="89"/>
      <c r="L31" s="10"/>
    </row>
    <row r="32" spans="1:12" ht="85.5" customHeight="1" x14ac:dyDescent="0.3">
      <c r="A32" s="15">
        <v>5</v>
      </c>
      <c r="B32" s="113" t="s">
        <v>121</v>
      </c>
      <c r="C32" s="24"/>
      <c r="D32" s="21" t="s">
        <v>30</v>
      </c>
      <c r="E32" s="31">
        <v>0</v>
      </c>
      <c r="F32" s="31">
        <v>0</v>
      </c>
      <c r="G32" s="33" t="s">
        <v>122</v>
      </c>
      <c r="H32" s="25">
        <v>120000000</v>
      </c>
      <c r="I32" s="126">
        <v>120000000</v>
      </c>
      <c r="J32" s="113"/>
      <c r="K32" s="89"/>
      <c r="L32" s="10"/>
    </row>
    <row r="33" spans="1:12" ht="31" x14ac:dyDescent="0.3">
      <c r="A33" s="15">
        <v>6</v>
      </c>
      <c r="B33" s="113" t="s">
        <v>123</v>
      </c>
      <c r="C33" s="24"/>
      <c r="D33" s="21" t="s">
        <v>48</v>
      </c>
      <c r="E33" s="31">
        <v>0</v>
      </c>
      <c r="F33" s="31"/>
      <c r="G33" s="33">
        <v>1</v>
      </c>
      <c r="H33" s="25">
        <v>85000000</v>
      </c>
      <c r="I33" s="126">
        <v>120000000</v>
      </c>
      <c r="J33" s="113"/>
      <c r="K33" s="89"/>
      <c r="L33" s="10"/>
    </row>
    <row r="34" spans="1:12" ht="31" x14ac:dyDescent="0.3">
      <c r="A34" s="15">
        <v>7</v>
      </c>
      <c r="B34" s="113" t="s">
        <v>124</v>
      </c>
      <c r="C34" s="24"/>
      <c r="D34" s="21"/>
      <c r="E34" s="31"/>
      <c r="F34" s="31"/>
      <c r="G34" s="33">
        <v>10</v>
      </c>
      <c r="H34" s="25">
        <v>12000000</v>
      </c>
      <c r="I34" s="126">
        <v>120000000</v>
      </c>
      <c r="J34" s="113"/>
      <c r="K34" s="89"/>
      <c r="L34" s="10"/>
    </row>
    <row r="35" spans="1:12" ht="15.5" x14ac:dyDescent="0.3">
      <c r="A35" s="15">
        <v>8</v>
      </c>
      <c r="B35" s="113" t="s">
        <v>125</v>
      </c>
      <c r="C35" s="24"/>
      <c r="D35" s="21"/>
      <c r="E35" s="31"/>
      <c r="F35" s="31"/>
      <c r="G35" s="33">
        <v>19</v>
      </c>
      <c r="H35" s="25">
        <v>10000000</v>
      </c>
      <c r="I35" s="126">
        <v>190000000</v>
      </c>
      <c r="J35" s="113"/>
      <c r="K35" s="89"/>
      <c r="L35" s="10"/>
    </row>
    <row r="36" spans="1:12" ht="15.5" x14ac:dyDescent="0.3">
      <c r="A36" s="15">
        <v>9</v>
      </c>
      <c r="B36" s="113" t="s">
        <v>126</v>
      </c>
      <c r="C36" s="24"/>
      <c r="D36" s="21"/>
      <c r="E36" s="31"/>
      <c r="F36" s="31"/>
      <c r="G36" s="33">
        <v>10</v>
      </c>
      <c r="H36" s="25">
        <v>12000000</v>
      </c>
      <c r="I36" s="126">
        <v>120000000</v>
      </c>
      <c r="J36" s="113"/>
      <c r="K36" s="89"/>
      <c r="L36" s="10"/>
    </row>
    <row r="37" spans="1:12" ht="31" x14ac:dyDescent="0.3">
      <c r="A37" s="15">
        <v>10</v>
      </c>
      <c r="B37" s="24" t="s">
        <v>127</v>
      </c>
      <c r="C37" s="24"/>
      <c r="D37" s="21"/>
      <c r="E37" s="31"/>
      <c r="F37" s="31"/>
      <c r="G37" s="132">
        <v>1</v>
      </c>
      <c r="H37" s="134">
        <v>850000000</v>
      </c>
      <c r="I37" s="136">
        <f>H37*G37</f>
        <v>850000000</v>
      </c>
      <c r="J37" s="113"/>
      <c r="K37" s="89"/>
      <c r="L37" s="10"/>
    </row>
    <row r="38" spans="1:12" ht="15.5" x14ac:dyDescent="0.3">
      <c r="A38" s="15">
        <v>11</v>
      </c>
      <c r="B38" s="24" t="s">
        <v>128</v>
      </c>
      <c r="C38" s="24"/>
      <c r="D38" s="21"/>
      <c r="E38" s="31"/>
      <c r="F38" s="31"/>
      <c r="G38" s="33">
        <v>1</v>
      </c>
      <c r="H38" s="32">
        <v>380000000</v>
      </c>
      <c r="I38" s="136">
        <f>H38*G38</f>
        <v>380000000</v>
      </c>
      <c r="J38" s="113"/>
      <c r="K38" s="89"/>
      <c r="L38" s="10"/>
    </row>
    <row r="39" spans="1:12" ht="46.5" x14ac:dyDescent="0.3">
      <c r="A39" s="15">
        <v>12</v>
      </c>
      <c r="B39" s="131" t="s">
        <v>129</v>
      </c>
      <c r="C39" s="24"/>
      <c r="D39" s="21"/>
      <c r="E39" s="31"/>
      <c r="F39" s="31"/>
      <c r="G39" s="133">
        <v>2</v>
      </c>
      <c r="H39" s="135">
        <v>8000000</v>
      </c>
      <c r="I39" s="137">
        <f>H39*G39</f>
        <v>16000000</v>
      </c>
      <c r="J39" s="113"/>
      <c r="K39" s="89"/>
      <c r="L39" s="10"/>
    </row>
    <row r="40" spans="1:12" ht="15.5" x14ac:dyDescent="0.3">
      <c r="A40" s="15">
        <v>13</v>
      </c>
      <c r="B40" s="131" t="s">
        <v>130</v>
      </c>
      <c r="C40" s="24"/>
      <c r="D40" s="21"/>
      <c r="E40" s="31"/>
      <c r="F40" s="31"/>
      <c r="G40" s="138">
        <v>4</v>
      </c>
      <c r="H40" s="25">
        <v>13000000</v>
      </c>
      <c r="I40" s="126">
        <v>52000000</v>
      </c>
      <c r="J40" s="113"/>
      <c r="K40" s="89"/>
      <c r="L40" s="10"/>
    </row>
    <row r="41" spans="1:12" ht="28.5" customHeight="1" x14ac:dyDescent="0.3">
      <c r="A41" s="15"/>
      <c r="B41" s="726" t="s">
        <v>54</v>
      </c>
      <c r="C41" s="726"/>
      <c r="D41" s="20"/>
      <c r="E41" s="20"/>
      <c r="F41" s="20"/>
      <c r="G41" s="20"/>
      <c r="H41" s="28"/>
      <c r="I41" s="37">
        <f>SUM(I8:I40)</f>
        <v>7805000000</v>
      </c>
      <c r="J41" s="16"/>
      <c r="K41" s="89"/>
      <c r="L41" s="10"/>
    </row>
  </sheetData>
  <autoFilter ref="A5:L41" xr:uid="{00000000-0009-0000-0000-00002C000000}">
    <filterColumn colId="4" showButton="0"/>
  </autoFilter>
  <mergeCells count="15">
    <mergeCell ref="E5:F5"/>
    <mergeCell ref="B41:C41"/>
    <mergeCell ref="A1:K2"/>
    <mergeCell ref="I3:K3"/>
    <mergeCell ref="A4:A5"/>
    <mergeCell ref="B4:B5"/>
    <mergeCell ref="C4:C5"/>
    <mergeCell ref="D4:D5"/>
    <mergeCell ref="E4:G4"/>
    <mergeCell ref="H4:I4"/>
    <mergeCell ref="J4:J5"/>
    <mergeCell ref="K4:K5"/>
    <mergeCell ref="B23:H23"/>
    <mergeCell ref="B27:H27"/>
    <mergeCell ref="B7:H7"/>
  </mergeCells>
  <pageMargins left="0" right="0" top="0.5" bottom="0.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0000"/>
  </sheetPr>
  <dimension ref="A1:L105"/>
  <sheetViews>
    <sheetView topLeftCell="A10" zoomScaleNormal="100" workbookViewId="0">
      <selection activeCell="B1" sqref="A1:I3"/>
    </sheetView>
  </sheetViews>
  <sheetFormatPr defaultRowHeight="15.5" x14ac:dyDescent="0.35"/>
  <cols>
    <col min="1" max="1" width="7.36328125" style="38" customWidth="1"/>
    <col min="2" max="2" width="38.453125" style="10" customWidth="1"/>
    <col min="3" max="3" width="11.6328125" style="10" customWidth="1"/>
    <col min="4" max="4" width="21.36328125" style="10" hidden="1" customWidth="1"/>
    <col min="5" max="5" width="13.08984375" style="10" customWidth="1"/>
    <col min="6" max="6" width="16.54296875" style="10" customWidth="1"/>
    <col min="7" max="7" width="17.54296875" style="39" customWidth="1"/>
    <col min="8" max="8" width="15.36328125" style="38" customWidth="1"/>
    <col min="9" max="9" width="16.08984375" style="10" customWidth="1"/>
    <col min="10" max="10" width="9.08984375" style="10"/>
    <col min="11" max="11" width="17.54296875" style="10" bestFit="1" customWidth="1"/>
    <col min="12" max="12" width="14.54296875" style="10" bestFit="1" customWidth="1"/>
    <col min="13" max="256" width="9.08984375" style="10"/>
    <col min="257" max="257" width="7.36328125" style="10" customWidth="1"/>
    <col min="258" max="258" width="38.453125" style="10" customWidth="1"/>
    <col min="259" max="259" width="13.453125" style="10" bestFit="1" customWidth="1"/>
    <col min="260" max="260" width="0" style="10" hidden="1" customWidth="1"/>
    <col min="261" max="261" width="16.6328125" style="10" customWidth="1"/>
    <col min="262" max="262" width="33.90625" style="10" customWidth="1"/>
    <col min="263" max="263" width="22.90625" style="10" customWidth="1"/>
    <col min="264" max="264" width="15.54296875" style="10" bestFit="1" customWidth="1"/>
    <col min="265" max="265" width="16.36328125" style="10" customWidth="1"/>
    <col min="266" max="266" width="9.08984375" style="10"/>
    <col min="267" max="267" width="17.54296875" style="10" bestFit="1" customWidth="1"/>
    <col min="268" max="268" width="14.54296875" style="10" bestFit="1" customWidth="1"/>
    <col min="269" max="512" width="9.08984375" style="10"/>
    <col min="513" max="513" width="7.36328125" style="10" customWidth="1"/>
    <col min="514" max="514" width="38.453125" style="10" customWidth="1"/>
    <col min="515" max="515" width="13.453125" style="10" bestFit="1" customWidth="1"/>
    <col min="516" max="516" width="0" style="10" hidden="1" customWidth="1"/>
    <col min="517" max="517" width="16.6328125" style="10" customWidth="1"/>
    <col min="518" max="518" width="33.90625" style="10" customWidth="1"/>
    <col min="519" max="519" width="22.90625" style="10" customWidth="1"/>
    <col min="520" max="520" width="15.54296875" style="10" bestFit="1" customWidth="1"/>
    <col min="521" max="521" width="16.36328125" style="10" customWidth="1"/>
    <col min="522" max="522" width="9.08984375" style="10"/>
    <col min="523" max="523" width="17.54296875" style="10" bestFit="1" customWidth="1"/>
    <col min="524" max="524" width="14.54296875" style="10" bestFit="1" customWidth="1"/>
    <col min="525" max="768" width="9.08984375" style="10"/>
    <col min="769" max="769" width="7.36328125" style="10" customWidth="1"/>
    <col min="770" max="770" width="38.453125" style="10" customWidth="1"/>
    <col min="771" max="771" width="13.453125" style="10" bestFit="1" customWidth="1"/>
    <col min="772" max="772" width="0" style="10" hidden="1" customWidth="1"/>
    <col min="773" max="773" width="16.6328125" style="10" customWidth="1"/>
    <col min="774" max="774" width="33.90625" style="10" customWidth="1"/>
    <col min="775" max="775" width="22.90625" style="10" customWidth="1"/>
    <col min="776" max="776" width="15.54296875" style="10" bestFit="1" customWidth="1"/>
    <col min="777" max="777" width="16.36328125" style="10" customWidth="1"/>
    <col min="778" max="778" width="9.08984375" style="10"/>
    <col min="779" max="779" width="17.54296875" style="10" bestFit="1" customWidth="1"/>
    <col min="780" max="780" width="14.54296875" style="10" bestFit="1" customWidth="1"/>
    <col min="781" max="1024" width="9.08984375" style="10"/>
    <col min="1025" max="1025" width="7.36328125" style="10" customWidth="1"/>
    <col min="1026" max="1026" width="38.453125" style="10" customWidth="1"/>
    <col min="1027" max="1027" width="13.453125" style="10" bestFit="1" customWidth="1"/>
    <col min="1028" max="1028" width="0" style="10" hidden="1" customWidth="1"/>
    <col min="1029" max="1029" width="16.6328125" style="10" customWidth="1"/>
    <col min="1030" max="1030" width="33.90625" style="10" customWidth="1"/>
    <col min="1031" max="1031" width="22.90625" style="10" customWidth="1"/>
    <col min="1032" max="1032" width="15.54296875" style="10" bestFit="1" customWidth="1"/>
    <col min="1033" max="1033" width="16.36328125" style="10" customWidth="1"/>
    <col min="1034" max="1034" width="9.08984375" style="10"/>
    <col min="1035" max="1035" width="17.54296875" style="10" bestFit="1" customWidth="1"/>
    <col min="1036" max="1036" width="14.54296875" style="10" bestFit="1" customWidth="1"/>
    <col min="1037" max="1280" width="9.08984375" style="10"/>
    <col min="1281" max="1281" width="7.36328125" style="10" customWidth="1"/>
    <col min="1282" max="1282" width="38.453125" style="10" customWidth="1"/>
    <col min="1283" max="1283" width="13.453125" style="10" bestFit="1" customWidth="1"/>
    <col min="1284" max="1284" width="0" style="10" hidden="1" customWidth="1"/>
    <col min="1285" max="1285" width="16.6328125" style="10" customWidth="1"/>
    <col min="1286" max="1286" width="33.90625" style="10" customWidth="1"/>
    <col min="1287" max="1287" width="22.90625" style="10" customWidth="1"/>
    <col min="1288" max="1288" width="15.54296875" style="10" bestFit="1" customWidth="1"/>
    <col min="1289" max="1289" width="16.36328125" style="10" customWidth="1"/>
    <col min="1290" max="1290" width="9.08984375" style="10"/>
    <col min="1291" max="1291" width="17.54296875" style="10" bestFit="1" customWidth="1"/>
    <col min="1292" max="1292" width="14.54296875" style="10" bestFit="1" customWidth="1"/>
    <col min="1293" max="1536" width="9.08984375" style="10"/>
    <col min="1537" max="1537" width="7.36328125" style="10" customWidth="1"/>
    <col min="1538" max="1538" width="38.453125" style="10" customWidth="1"/>
    <col min="1539" max="1539" width="13.453125" style="10" bestFit="1" customWidth="1"/>
    <col min="1540" max="1540" width="0" style="10" hidden="1" customWidth="1"/>
    <col min="1541" max="1541" width="16.6328125" style="10" customWidth="1"/>
    <col min="1542" max="1542" width="33.90625" style="10" customWidth="1"/>
    <col min="1543" max="1543" width="22.90625" style="10" customWidth="1"/>
    <col min="1544" max="1544" width="15.54296875" style="10" bestFit="1" customWidth="1"/>
    <col min="1545" max="1545" width="16.36328125" style="10" customWidth="1"/>
    <col min="1546" max="1546" width="9.08984375" style="10"/>
    <col min="1547" max="1547" width="17.54296875" style="10" bestFit="1" customWidth="1"/>
    <col min="1548" max="1548" width="14.54296875" style="10" bestFit="1" customWidth="1"/>
    <col min="1549" max="1792" width="9.08984375" style="10"/>
    <col min="1793" max="1793" width="7.36328125" style="10" customWidth="1"/>
    <col min="1794" max="1794" width="38.453125" style="10" customWidth="1"/>
    <col min="1795" max="1795" width="13.453125" style="10" bestFit="1" customWidth="1"/>
    <col min="1796" max="1796" width="0" style="10" hidden="1" customWidth="1"/>
    <col min="1797" max="1797" width="16.6328125" style="10" customWidth="1"/>
    <col min="1798" max="1798" width="33.90625" style="10" customWidth="1"/>
    <col min="1799" max="1799" width="22.90625" style="10" customWidth="1"/>
    <col min="1800" max="1800" width="15.54296875" style="10" bestFit="1" customWidth="1"/>
    <col min="1801" max="1801" width="16.36328125" style="10" customWidth="1"/>
    <col min="1802" max="1802" width="9.08984375" style="10"/>
    <col min="1803" max="1803" width="17.54296875" style="10" bestFit="1" customWidth="1"/>
    <col min="1804" max="1804" width="14.54296875" style="10" bestFit="1" customWidth="1"/>
    <col min="1805" max="2048" width="9.08984375" style="10"/>
    <col min="2049" max="2049" width="7.36328125" style="10" customWidth="1"/>
    <col min="2050" max="2050" width="38.453125" style="10" customWidth="1"/>
    <col min="2051" max="2051" width="13.453125" style="10" bestFit="1" customWidth="1"/>
    <col min="2052" max="2052" width="0" style="10" hidden="1" customWidth="1"/>
    <col min="2053" max="2053" width="16.6328125" style="10" customWidth="1"/>
    <col min="2054" max="2054" width="33.90625" style="10" customWidth="1"/>
    <col min="2055" max="2055" width="22.90625" style="10" customWidth="1"/>
    <col min="2056" max="2056" width="15.54296875" style="10" bestFit="1" customWidth="1"/>
    <col min="2057" max="2057" width="16.36328125" style="10" customWidth="1"/>
    <col min="2058" max="2058" width="9.08984375" style="10"/>
    <col min="2059" max="2059" width="17.54296875" style="10" bestFit="1" customWidth="1"/>
    <col min="2060" max="2060" width="14.54296875" style="10" bestFit="1" customWidth="1"/>
    <col min="2061" max="2304" width="9.08984375" style="10"/>
    <col min="2305" max="2305" width="7.36328125" style="10" customWidth="1"/>
    <col min="2306" max="2306" width="38.453125" style="10" customWidth="1"/>
    <col min="2307" max="2307" width="13.453125" style="10" bestFit="1" customWidth="1"/>
    <col min="2308" max="2308" width="0" style="10" hidden="1" customWidth="1"/>
    <col min="2309" max="2309" width="16.6328125" style="10" customWidth="1"/>
    <col min="2310" max="2310" width="33.90625" style="10" customWidth="1"/>
    <col min="2311" max="2311" width="22.90625" style="10" customWidth="1"/>
    <col min="2312" max="2312" width="15.54296875" style="10" bestFit="1" customWidth="1"/>
    <col min="2313" max="2313" width="16.36328125" style="10" customWidth="1"/>
    <col min="2314" max="2314" width="9.08984375" style="10"/>
    <col min="2315" max="2315" width="17.54296875" style="10" bestFit="1" customWidth="1"/>
    <col min="2316" max="2316" width="14.54296875" style="10" bestFit="1" customWidth="1"/>
    <col min="2317" max="2560" width="9.08984375" style="10"/>
    <col min="2561" max="2561" width="7.36328125" style="10" customWidth="1"/>
    <col min="2562" max="2562" width="38.453125" style="10" customWidth="1"/>
    <col min="2563" max="2563" width="13.453125" style="10" bestFit="1" customWidth="1"/>
    <col min="2564" max="2564" width="0" style="10" hidden="1" customWidth="1"/>
    <col min="2565" max="2565" width="16.6328125" style="10" customWidth="1"/>
    <col min="2566" max="2566" width="33.90625" style="10" customWidth="1"/>
    <col min="2567" max="2567" width="22.90625" style="10" customWidth="1"/>
    <col min="2568" max="2568" width="15.54296875" style="10" bestFit="1" customWidth="1"/>
    <col min="2569" max="2569" width="16.36328125" style="10" customWidth="1"/>
    <col min="2570" max="2570" width="9.08984375" style="10"/>
    <col min="2571" max="2571" width="17.54296875" style="10" bestFit="1" customWidth="1"/>
    <col min="2572" max="2572" width="14.54296875" style="10" bestFit="1" customWidth="1"/>
    <col min="2573" max="2816" width="9.08984375" style="10"/>
    <col min="2817" max="2817" width="7.36328125" style="10" customWidth="1"/>
    <col min="2818" max="2818" width="38.453125" style="10" customWidth="1"/>
    <col min="2819" max="2819" width="13.453125" style="10" bestFit="1" customWidth="1"/>
    <col min="2820" max="2820" width="0" style="10" hidden="1" customWidth="1"/>
    <col min="2821" max="2821" width="16.6328125" style="10" customWidth="1"/>
    <col min="2822" max="2822" width="33.90625" style="10" customWidth="1"/>
    <col min="2823" max="2823" width="22.90625" style="10" customWidth="1"/>
    <col min="2824" max="2824" width="15.54296875" style="10" bestFit="1" customWidth="1"/>
    <col min="2825" max="2825" width="16.36328125" style="10" customWidth="1"/>
    <col min="2826" max="2826" width="9.08984375" style="10"/>
    <col min="2827" max="2827" width="17.54296875" style="10" bestFit="1" customWidth="1"/>
    <col min="2828" max="2828" width="14.54296875" style="10" bestFit="1" customWidth="1"/>
    <col min="2829" max="3072" width="9.08984375" style="10"/>
    <col min="3073" max="3073" width="7.36328125" style="10" customWidth="1"/>
    <col min="3074" max="3074" width="38.453125" style="10" customWidth="1"/>
    <col min="3075" max="3075" width="13.453125" style="10" bestFit="1" customWidth="1"/>
    <col min="3076" max="3076" width="0" style="10" hidden="1" customWidth="1"/>
    <col min="3077" max="3077" width="16.6328125" style="10" customWidth="1"/>
    <col min="3078" max="3078" width="33.90625" style="10" customWidth="1"/>
    <col min="3079" max="3079" width="22.90625" style="10" customWidth="1"/>
    <col min="3080" max="3080" width="15.54296875" style="10" bestFit="1" customWidth="1"/>
    <col min="3081" max="3081" width="16.36328125" style="10" customWidth="1"/>
    <col min="3082" max="3082" width="9.08984375" style="10"/>
    <col min="3083" max="3083" width="17.54296875" style="10" bestFit="1" customWidth="1"/>
    <col min="3084" max="3084" width="14.54296875" style="10" bestFit="1" customWidth="1"/>
    <col min="3085" max="3328" width="9.08984375" style="10"/>
    <col min="3329" max="3329" width="7.36328125" style="10" customWidth="1"/>
    <col min="3330" max="3330" width="38.453125" style="10" customWidth="1"/>
    <col min="3331" max="3331" width="13.453125" style="10" bestFit="1" customWidth="1"/>
    <col min="3332" max="3332" width="0" style="10" hidden="1" customWidth="1"/>
    <col min="3333" max="3333" width="16.6328125" style="10" customWidth="1"/>
    <col min="3334" max="3334" width="33.90625" style="10" customWidth="1"/>
    <col min="3335" max="3335" width="22.90625" style="10" customWidth="1"/>
    <col min="3336" max="3336" width="15.54296875" style="10" bestFit="1" customWidth="1"/>
    <col min="3337" max="3337" width="16.36328125" style="10" customWidth="1"/>
    <col min="3338" max="3338" width="9.08984375" style="10"/>
    <col min="3339" max="3339" width="17.54296875" style="10" bestFit="1" customWidth="1"/>
    <col min="3340" max="3340" width="14.54296875" style="10" bestFit="1" customWidth="1"/>
    <col min="3341" max="3584" width="9.08984375" style="10"/>
    <col min="3585" max="3585" width="7.36328125" style="10" customWidth="1"/>
    <col min="3586" max="3586" width="38.453125" style="10" customWidth="1"/>
    <col min="3587" max="3587" width="13.453125" style="10" bestFit="1" customWidth="1"/>
    <col min="3588" max="3588" width="0" style="10" hidden="1" customWidth="1"/>
    <col min="3589" max="3589" width="16.6328125" style="10" customWidth="1"/>
    <col min="3590" max="3590" width="33.90625" style="10" customWidth="1"/>
    <col min="3591" max="3591" width="22.90625" style="10" customWidth="1"/>
    <col min="3592" max="3592" width="15.54296875" style="10" bestFit="1" customWidth="1"/>
    <col min="3593" max="3593" width="16.36328125" style="10" customWidth="1"/>
    <col min="3594" max="3594" width="9.08984375" style="10"/>
    <col min="3595" max="3595" width="17.54296875" style="10" bestFit="1" customWidth="1"/>
    <col min="3596" max="3596" width="14.54296875" style="10" bestFit="1" customWidth="1"/>
    <col min="3597" max="3840" width="9.08984375" style="10"/>
    <col min="3841" max="3841" width="7.36328125" style="10" customWidth="1"/>
    <col min="3842" max="3842" width="38.453125" style="10" customWidth="1"/>
    <col min="3843" max="3843" width="13.453125" style="10" bestFit="1" customWidth="1"/>
    <col min="3844" max="3844" width="0" style="10" hidden="1" customWidth="1"/>
    <col min="3845" max="3845" width="16.6328125" style="10" customWidth="1"/>
    <col min="3846" max="3846" width="33.90625" style="10" customWidth="1"/>
    <col min="3847" max="3847" width="22.90625" style="10" customWidth="1"/>
    <col min="3848" max="3848" width="15.54296875" style="10" bestFit="1" customWidth="1"/>
    <col min="3849" max="3849" width="16.36328125" style="10" customWidth="1"/>
    <col min="3850" max="3850" width="9.08984375" style="10"/>
    <col min="3851" max="3851" width="17.54296875" style="10" bestFit="1" customWidth="1"/>
    <col min="3852" max="3852" width="14.54296875" style="10" bestFit="1" customWidth="1"/>
    <col min="3853" max="4096" width="9.08984375" style="10"/>
    <col min="4097" max="4097" width="7.36328125" style="10" customWidth="1"/>
    <col min="4098" max="4098" width="38.453125" style="10" customWidth="1"/>
    <col min="4099" max="4099" width="13.453125" style="10" bestFit="1" customWidth="1"/>
    <col min="4100" max="4100" width="0" style="10" hidden="1" customWidth="1"/>
    <col min="4101" max="4101" width="16.6328125" style="10" customWidth="1"/>
    <col min="4102" max="4102" width="33.90625" style="10" customWidth="1"/>
    <col min="4103" max="4103" width="22.90625" style="10" customWidth="1"/>
    <col min="4104" max="4104" width="15.54296875" style="10" bestFit="1" customWidth="1"/>
    <col min="4105" max="4105" width="16.36328125" style="10" customWidth="1"/>
    <col min="4106" max="4106" width="9.08984375" style="10"/>
    <col min="4107" max="4107" width="17.54296875" style="10" bestFit="1" customWidth="1"/>
    <col min="4108" max="4108" width="14.54296875" style="10" bestFit="1" customWidth="1"/>
    <col min="4109" max="4352" width="9.08984375" style="10"/>
    <col min="4353" max="4353" width="7.36328125" style="10" customWidth="1"/>
    <col min="4354" max="4354" width="38.453125" style="10" customWidth="1"/>
    <col min="4355" max="4355" width="13.453125" style="10" bestFit="1" customWidth="1"/>
    <col min="4356" max="4356" width="0" style="10" hidden="1" customWidth="1"/>
    <col min="4357" max="4357" width="16.6328125" style="10" customWidth="1"/>
    <col min="4358" max="4358" width="33.90625" style="10" customWidth="1"/>
    <col min="4359" max="4359" width="22.90625" style="10" customWidth="1"/>
    <col min="4360" max="4360" width="15.54296875" style="10" bestFit="1" customWidth="1"/>
    <col min="4361" max="4361" width="16.36328125" style="10" customWidth="1"/>
    <col min="4362" max="4362" width="9.08984375" style="10"/>
    <col min="4363" max="4363" width="17.54296875" style="10" bestFit="1" customWidth="1"/>
    <col min="4364" max="4364" width="14.54296875" style="10" bestFit="1" customWidth="1"/>
    <col min="4365" max="4608" width="9.08984375" style="10"/>
    <col min="4609" max="4609" width="7.36328125" style="10" customWidth="1"/>
    <col min="4610" max="4610" width="38.453125" style="10" customWidth="1"/>
    <col min="4611" max="4611" width="13.453125" style="10" bestFit="1" customWidth="1"/>
    <col min="4612" max="4612" width="0" style="10" hidden="1" customWidth="1"/>
    <col min="4613" max="4613" width="16.6328125" style="10" customWidth="1"/>
    <col min="4614" max="4614" width="33.90625" style="10" customWidth="1"/>
    <col min="4615" max="4615" width="22.90625" style="10" customWidth="1"/>
    <col min="4616" max="4616" width="15.54296875" style="10" bestFit="1" customWidth="1"/>
    <col min="4617" max="4617" width="16.36328125" style="10" customWidth="1"/>
    <col min="4618" max="4618" width="9.08984375" style="10"/>
    <col min="4619" max="4619" width="17.54296875" style="10" bestFit="1" customWidth="1"/>
    <col min="4620" max="4620" width="14.54296875" style="10" bestFit="1" customWidth="1"/>
    <col min="4621" max="4864" width="9.08984375" style="10"/>
    <col min="4865" max="4865" width="7.36328125" style="10" customWidth="1"/>
    <col min="4866" max="4866" width="38.453125" style="10" customWidth="1"/>
    <col min="4867" max="4867" width="13.453125" style="10" bestFit="1" customWidth="1"/>
    <col min="4868" max="4868" width="0" style="10" hidden="1" customWidth="1"/>
    <col min="4869" max="4869" width="16.6328125" style="10" customWidth="1"/>
    <col min="4870" max="4870" width="33.90625" style="10" customWidth="1"/>
    <col min="4871" max="4871" width="22.90625" style="10" customWidth="1"/>
    <col min="4872" max="4872" width="15.54296875" style="10" bestFit="1" customWidth="1"/>
    <col min="4873" max="4873" width="16.36328125" style="10" customWidth="1"/>
    <col min="4874" max="4874" width="9.08984375" style="10"/>
    <col min="4875" max="4875" width="17.54296875" style="10" bestFit="1" customWidth="1"/>
    <col min="4876" max="4876" width="14.54296875" style="10" bestFit="1" customWidth="1"/>
    <col min="4877" max="5120" width="9.08984375" style="10"/>
    <col min="5121" max="5121" width="7.36328125" style="10" customWidth="1"/>
    <col min="5122" max="5122" width="38.453125" style="10" customWidth="1"/>
    <col min="5123" max="5123" width="13.453125" style="10" bestFit="1" customWidth="1"/>
    <col min="5124" max="5124" width="0" style="10" hidden="1" customWidth="1"/>
    <col min="5125" max="5125" width="16.6328125" style="10" customWidth="1"/>
    <col min="5126" max="5126" width="33.90625" style="10" customWidth="1"/>
    <col min="5127" max="5127" width="22.90625" style="10" customWidth="1"/>
    <col min="5128" max="5128" width="15.54296875" style="10" bestFit="1" customWidth="1"/>
    <col min="5129" max="5129" width="16.36328125" style="10" customWidth="1"/>
    <col min="5130" max="5130" width="9.08984375" style="10"/>
    <col min="5131" max="5131" width="17.54296875" style="10" bestFit="1" customWidth="1"/>
    <col min="5132" max="5132" width="14.54296875" style="10" bestFit="1" customWidth="1"/>
    <col min="5133" max="5376" width="9.08984375" style="10"/>
    <col min="5377" max="5377" width="7.36328125" style="10" customWidth="1"/>
    <col min="5378" max="5378" width="38.453125" style="10" customWidth="1"/>
    <col min="5379" max="5379" width="13.453125" style="10" bestFit="1" customWidth="1"/>
    <col min="5380" max="5380" width="0" style="10" hidden="1" customWidth="1"/>
    <col min="5381" max="5381" width="16.6328125" style="10" customWidth="1"/>
    <col min="5382" max="5382" width="33.90625" style="10" customWidth="1"/>
    <col min="5383" max="5383" width="22.90625" style="10" customWidth="1"/>
    <col min="5384" max="5384" width="15.54296875" style="10" bestFit="1" customWidth="1"/>
    <col min="5385" max="5385" width="16.36328125" style="10" customWidth="1"/>
    <col min="5386" max="5386" width="9.08984375" style="10"/>
    <col min="5387" max="5387" width="17.54296875" style="10" bestFit="1" customWidth="1"/>
    <col min="5388" max="5388" width="14.54296875" style="10" bestFit="1" customWidth="1"/>
    <col min="5389" max="5632" width="9.08984375" style="10"/>
    <col min="5633" max="5633" width="7.36328125" style="10" customWidth="1"/>
    <col min="5634" max="5634" width="38.453125" style="10" customWidth="1"/>
    <col min="5635" max="5635" width="13.453125" style="10" bestFit="1" customWidth="1"/>
    <col min="5636" max="5636" width="0" style="10" hidden="1" customWidth="1"/>
    <col min="5637" max="5637" width="16.6328125" style="10" customWidth="1"/>
    <col min="5638" max="5638" width="33.90625" style="10" customWidth="1"/>
    <col min="5639" max="5639" width="22.90625" style="10" customWidth="1"/>
    <col min="5640" max="5640" width="15.54296875" style="10" bestFit="1" customWidth="1"/>
    <col min="5641" max="5641" width="16.36328125" style="10" customWidth="1"/>
    <col min="5642" max="5642" width="9.08984375" style="10"/>
    <col min="5643" max="5643" width="17.54296875" style="10" bestFit="1" customWidth="1"/>
    <col min="5644" max="5644" width="14.54296875" style="10" bestFit="1" customWidth="1"/>
    <col min="5645" max="5888" width="9.08984375" style="10"/>
    <col min="5889" max="5889" width="7.36328125" style="10" customWidth="1"/>
    <col min="5890" max="5890" width="38.453125" style="10" customWidth="1"/>
    <col min="5891" max="5891" width="13.453125" style="10" bestFit="1" customWidth="1"/>
    <col min="5892" max="5892" width="0" style="10" hidden="1" customWidth="1"/>
    <col min="5893" max="5893" width="16.6328125" style="10" customWidth="1"/>
    <col min="5894" max="5894" width="33.90625" style="10" customWidth="1"/>
    <col min="5895" max="5895" width="22.90625" style="10" customWidth="1"/>
    <col min="5896" max="5896" width="15.54296875" style="10" bestFit="1" customWidth="1"/>
    <col min="5897" max="5897" width="16.36328125" style="10" customWidth="1"/>
    <col min="5898" max="5898" width="9.08984375" style="10"/>
    <col min="5899" max="5899" width="17.54296875" style="10" bestFit="1" customWidth="1"/>
    <col min="5900" max="5900" width="14.54296875" style="10" bestFit="1" customWidth="1"/>
    <col min="5901" max="6144" width="9.08984375" style="10"/>
    <col min="6145" max="6145" width="7.36328125" style="10" customWidth="1"/>
    <col min="6146" max="6146" width="38.453125" style="10" customWidth="1"/>
    <col min="6147" max="6147" width="13.453125" style="10" bestFit="1" customWidth="1"/>
    <col min="6148" max="6148" width="0" style="10" hidden="1" customWidth="1"/>
    <col min="6149" max="6149" width="16.6328125" style="10" customWidth="1"/>
    <col min="6150" max="6150" width="33.90625" style="10" customWidth="1"/>
    <col min="6151" max="6151" width="22.90625" style="10" customWidth="1"/>
    <col min="6152" max="6152" width="15.54296875" style="10" bestFit="1" customWidth="1"/>
    <col min="6153" max="6153" width="16.36328125" style="10" customWidth="1"/>
    <col min="6154" max="6154" width="9.08984375" style="10"/>
    <col min="6155" max="6155" width="17.54296875" style="10" bestFit="1" customWidth="1"/>
    <col min="6156" max="6156" width="14.54296875" style="10" bestFit="1" customWidth="1"/>
    <col min="6157" max="6400" width="9.08984375" style="10"/>
    <col min="6401" max="6401" width="7.36328125" style="10" customWidth="1"/>
    <col min="6402" max="6402" width="38.453125" style="10" customWidth="1"/>
    <col min="6403" max="6403" width="13.453125" style="10" bestFit="1" customWidth="1"/>
    <col min="6404" max="6404" width="0" style="10" hidden="1" customWidth="1"/>
    <col min="6405" max="6405" width="16.6328125" style="10" customWidth="1"/>
    <col min="6406" max="6406" width="33.90625" style="10" customWidth="1"/>
    <col min="6407" max="6407" width="22.90625" style="10" customWidth="1"/>
    <col min="6408" max="6408" width="15.54296875" style="10" bestFit="1" customWidth="1"/>
    <col min="6409" max="6409" width="16.36328125" style="10" customWidth="1"/>
    <col min="6410" max="6410" width="9.08984375" style="10"/>
    <col min="6411" max="6411" width="17.54296875" style="10" bestFit="1" customWidth="1"/>
    <col min="6412" max="6412" width="14.54296875" style="10" bestFit="1" customWidth="1"/>
    <col min="6413" max="6656" width="9.08984375" style="10"/>
    <col min="6657" max="6657" width="7.36328125" style="10" customWidth="1"/>
    <col min="6658" max="6658" width="38.453125" style="10" customWidth="1"/>
    <col min="6659" max="6659" width="13.453125" style="10" bestFit="1" customWidth="1"/>
    <col min="6660" max="6660" width="0" style="10" hidden="1" customWidth="1"/>
    <col min="6661" max="6661" width="16.6328125" style="10" customWidth="1"/>
    <col min="6662" max="6662" width="33.90625" style="10" customWidth="1"/>
    <col min="6663" max="6663" width="22.90625" style="10" customWidth="1"/>
    <col min="6664" max="6664" width="15.54296875" style="10" bestFit="1" customWidth="1"/>
    <col min="6665" max="6665" width="16.36328125" style="10" customWidth="1"/>
    <col min="6666" max="6666" width="9.08984375" style="10"/>
    <col min="6667" max="6667" width="17.54296875" style="10" bestFit="1" customWidth="1"/>
    <col min="6668" max="6668" width="14.54296875" style="10" bestFit="1" customWidth="1"/>
    <col min="6669" max="6912" width="9.08984375" style="10"/>
    <col min="6913" max="6913" width="7.36328125" style="10" customWidth="1"/>
    <col min="6914" max="6914" width="38.453125" style="10" customWidth="1"/>
    <col min="6915" max="6915" width="13.453125" style="10" bestFit="1" customWidth="1"/>
    <col min="6916" max="6916" width="0" style="10" hidden="1" customWidth="1"/>
    <col min="6917" max="6917" width="16.6328125" style="10" customWidth="1"/>
    <col min="6918" max="6918" width="33.90625" style="10" customWidth="1"/>
    <col min="6919" max="6919" width="22.90625" style="10" customWidth="1"/>
    <col min="6920" max="6920" width="15.54296875" style="10" bestFit="1" customWidth="1"/>
    <col min="6921" max="6921" width="16.36328125" style="10" customWidth="1"/>
    <col min="6922" max="6922" width="9.08984375" style="10"/>
    <col min="6923" max="6923" width="17.54296875" style="10" bestFit="1" customWidth="1"/>
    <col min="6924" max="6924" width="14.54296875" style="10" bestFit="1" customWidth="1"/>
    <col min="6925" max="7168" width="9.08984375" style="10"/>
    <col min="7169" max="7169" width="7.36328125" style="10" customWidth="1"/>
    <col min="7170" max="7170" width="38.453125" style="10" customWidth="1"/>
    <col min="7171" max="7171" width="13.453125" style="10" bestFit="1" customWidth="1"/>
    <col min="7172" max="7172" width="0" style="10" hidden="1" customWidth="1"/>
    <col min="7173" max="7173" width="16.6328125" style="10" customWidth="1"/>
    <col min="7174" max="7174" width="33.90625" style="10" customWidth="1"/>
    <col min="7175" max="7175" width="22.90625" style="10" customWidth="1"/>
    <col min="7176" max="7176" width="15.54296875" style="10" bestFit="1" customWidth="1"/>
    <col min="7177" max="7177" width="16.36328125" style="10" customWidth="1"/>
    <col min="7178" max="7178" width="9.08984375" style="10"/>
    <col min="7179" max="7179" width="17.54296875" style="10" bestFit="1" customWidth="1"/>
    <col min="7180" max="7180" width="14.54296875" style="10" bestFit="1" customWidth="1"/>
    <col min="7181" max="7424" width="9.08984375" style="10"/>
    <col min="7425" max="7425" width="7.36328125" style="10" customWidth="1"/>
    <col min="7426" max="7426" width="38.453125" style="10" customWidth="1"/>
    <col min="7427" max="7427" width="13.453125" style="10" bestFit="1" customWidth="1"/>
    <col min="7428" max="7428" width="0" style="10" hidden="1" customWidth="1"/>
    <col min="7429" max="7429" width="16.6328125" style="10" customWidth="1"/>
    <col min="7430" max="7430" width="33.90625" style="10" customWidth="1"/>
    <col min="7431" max="7431" width="22.90625" style="10" customWidth="1"/>
    <col min="7432" max="7432" width="15.54296875" style="10" bestFit="1" customWidth="1"/>
    <col min="7433" max="7433" width="16.36328125" style="10" customWidth="1"/>
    <col min="7434" max="7434" width="9.08984375" style="10"/>
    <col min="7435" max="7435" width="17.54296875" style="10" bestFit="1" customWidth="1"/>
    <col min="7436" max="7436" width="14.54296875" style="10" bestFit="1" customWidth="1"/>
    <col min="7437" max="7680" width="9.08984375" style="10"/>
    <col min="7681" max="7681" width="7.36328125" style="10" customWidth="1"/>
    <col min="7682" max="7682" width="38.453125" style="10" customWidth="1"/>
    <col min="7683" max="7683" width="13.453125" style="10" bestFit="1" customWidth="1"/>
    <col min="7684" max="7684" width="0" style="10" hidden="1" customWidth="1"/>
    <col min="7685" max="7685" width="16.6328125" style="10" customWidth="1"/>
    <col min="7686" max="7686" width="33.90625" style="10" customWidth="1"/>
    <col min="7687" max="7687" width="22.90625" style="10" customWidth="1"/>
    <col min="7688" max="7688" width="15.54296875" style="10" bestFit="1" customWidth="1"/>
    <col min="7689" max="7689" width="16.36328125" style="10" customWidth="1"/>
    <col min="7690" max="7690" width="9.08984375" style="10"/>
    <col min="7691" max="7691" width="17.54296875" style="10" bestFit="1" customWidth="1"/>
    <col min="7692" max="7692" width="14.54296875" style="10" bestFit="1" customWidth="1"/>
    <col min="7693" max="7936" width="9.08984375" style="10"/>
    <col min="7937" max="7937" width="7.36328125" style="10" customWidth="1"/>
    <col min="7938" max="7938" width="38.453125" style="10" customWidth="1"/>
    <col min="7939" max="7939" width="13.453125" style="10" bestFit="1" customWidth="1"/>
    <col min="7940" max="7940" width="0" style="10" hidden="1" customWidth="1"/>
    <col min="7941" max="7941" width="16.6328125" style="10" customWidth="1"/>
    <col min="7942" max="7942" width="33.90625" style="10" customWidth="1"/>
    <col min="7943" max="7943" width="22.90625" style="10" customWidth="1"/>
    <col min="7944" max="7944" width="15.54296875" style="10" bestFit="1" customWidth="1"/>
    <col min="7945" max="7945" width="16.36328125" style="10" customWidth="1"/>
    <col min="7946" max="7946" width="9.08984375" style="10"/>
    <col min="7947" max="7947" width="17.54296875" style="10" bestFit="1" customWidth="1"/>
    <col min="7948" max="7948" width="14.54296875" style="10" bestFit="1" customWidth="1"/>
    <col min="7949" max="8192" width="9.08984375" style="10"/>
    <col min="8193" max="8193" width="7.36328125" style="10" customWidth="1"/>
    <col min="8194" max="8194" width="38.453125" style="10" customWidth="1"/>
    <col min="8195" max="8195" width="13.453125" style="10" bestFit="1" customWidth="1"/>
    <col min="8196" max="8196" width="0" style="10" hidden="1" customWidth="1"/>
    <col min="8197" max="8197" width="16.6328125" style="10" customWidth="1"/>
    <col min="8198" max="8198" width="33.90625" style="10" customWidth="1"/>
    <col min="8199" max="8199" width="22.90625" style="10" customWidth="1"/>
    <col min="8200" max="8200" width="15.54296875" style="10" bestFit="1" customWidth="1"/>
    <col min="8201" max="8201" width="16.36328125" style="10" customWidth="1"/>
    <col min="8202" max="8202" width="9.08984375" style="10"/>
    <col min="8203" max="8203" width="17.54296875" style="10" bestFit="1" customWidth="1"/>
    <col min="8204" max="8204" width="14.54296875" style="10" bestFit="1" customWidth="1"/>
    <col min="8205" max="8448" width="9.08984375" style="10"/>
    <col min="8449" max="8449" width="7.36328125" style="10" customWidth="1"/>
    <col min="8450" max="8450" width="38.453125" style="10" customWidth="1"/>
    <col min="8451" max="8451" width="13.453125" style="10" bestFit="1" customWidth="1"/>
    <col min="8452" max="8452" width="0" style="10" hidden="1" customWidth="1"/>
    <col min="8453" max="8453" width="16.6328125" style="10" customWidth="1"/>
    <col min="8454" max="8454" width="33.90625" style="10" customWidth="1"/>
    <col min="8455" max="8455" width="22.90625" style="10" customWidth="1"/>
    <col min="8456" max="8456" width="15.54296875" style="10" bestFit="1" customWidth="1"/>
    <col min="8457" max="8457" width="16.36328125" style="10" customWidth="1"/>
    <col min="8458" max="8458" width="9.08984375" style="10"/>
    <col min="8459" max="8459" width="17.54296875" style="10" bestFit="1" customWidth="1"/>
    <col min="8460" max="8460" width="14.54296875" style="10" bestFit="1" customWidth="1"/>
    <col min="8461" max="8704" width="9.08984375" style="10"/>
    <col min="8705" max="8705" width="7.36328125" style="10" customWidth="1"/>
    <col min="8706" max="8706" width="38.453125" style="10" customWidth="1"/>
    <col min="8707" max="8707" width="13.453125" style="10" bestFit="1" customWidth="1"/>
    <col min="8708" max="8708" width="0" style="10" hidden="1" customWidth="1"/>
    <col min="8709" max="8709" width="16.6328125" style="10" customWidth="1"/>
    <col min="8710" max="8710" width="33.90625" style="10" customWidth="1"/>
    <col min="8711" max="8711" width="22.90625" style="10" customWidth="1"/>
    <col min="8712" max="8712" width="15.54296875" style="10" bestFit="1" customWidth="1"/>
    <col min="8713" max="8713" width="16.36328125" style="10" customWidth="1"/>
    <col min="8714" max="8714" width="9.08984375" style="10"/>
    <col min="8715" max="8715" width="17.54296875" style="10" bestFit="1" customWidth="1"/>
    <col min="8716" max="8716" width="14.54296875" style="10" bestFit="1" customWidth="1"/>
    <col min="8717" max="8960" width="9.08984375" style="10"/>
    <col min="8961" max="8961" width="7.36328125" style="10" customWidth="1"/>
    <col min="8962" max="8962" width="38.453125" style="10" customWidth="1"/>
    <col min="8963" max="8963" width="13.453125" style="10" bestFit="1" customWidth="1"/>
    <col min="8964" max="8964" width="0" style="10" hidden="1" customWidth="1"/>
    <col min="8965" max="8965" width="16.6328125" style="10" customWidth="1"/>
    <col min="8966" max="8966" width="33.90625" style="10" customWidth="1"/>
    <col min="8967" max="8967" width="22.90625" style="10" customWidth="1"/>
    <col min="8968" max="8968" width="15.54296875" style="10" bestFit="1" customWidth="1"/>
    <col min="8969" max="8969" width="16.36328125" style="10" customWidth="1"/>
    <col min="8970" max="8970" width="9.08984375" style="10"/>
    <col min="8971" max="8971" width="17.54296875" style="10" bestFit="1" customWidth="1"/>
    <col min="8972" max="8972" width="14.54296875" style="10" bestFit="1" customWidth="1"/>
    <col min="8973" max="9216" width="9.08984375" style="10"/>
    <col min="9217" max="9217" width="7.36328125" style="10" customWidth="1"/>
    <col min="9218" max="9218" width="38.453125" style="10" customWidth="1"/>
    <col min="9219" max="9219" width="13.453125" style="10" bestFit="1" customWidth="1"/>
    <col min="9220" max="9220" width="0" style="10" hidden="1" customWidth="1"/>
    <col min="9221" max="9221" width="16.6328125" style="10" customWidth="1"/>
    <col min="9222" max="9222" width="33.90625" style="10" customWidth="1"/>
    <col min="9223" max="9223" width="22.90625" style="10" customWidth="1"/>
    <col min="9224" max="9224" width="15.54296875" style="10" bestFit="1" customWidth="1"/>
    <col min="9225" max="9225" width="16.36328125" style="10" customWidth="1"/>
    <col min="9226" max="9226" width="9.08984375" style="10"/>
    <col min="9227" max="9227" width="17.54296875" style="10" bestFit="1" customWidth="1"/>
    <col min="9228" max="9228" width="14.54296875" style="10" bestFit="1" customWidth="1"/>
    <col min="9229" max="9472" width="9.08984375" style="10"/>
    <col min="9473" max="9473" width="7.36328125" style="10" customWidth="1"/>
    <col min="9474" max="9474" width="38.453125" style="10" customWidth="1"/>
    <col min="9475" max="9475" width="13.453125" style="10" bestFit="1" customWidth="1"/>
    <col min="9476" max="9476" width="0" style="10" hidden="1" customWidth="1"/>
    <col min="9477" max="9477" width="16.6328125" style="10" customWidth="1"/>
    <col min="9478" max="9478" width="33.90625" style="10" customWidth="1"/>
    <col min="9479" max="9479" width="22.90625" style="10" customWidth="1"/>
    <col min="9480" max="9480" width="15.54296875" style="10" bestFit="1" customWidth="1"/>
    <col min="9481" max="9481" width="16.36328125" style="10" customWidth="1"/>
    <col min="9482" max="9482" width="9.08984375" style="10"/>
    <col min="9483" max="9483" width="17.54296875" style="10" bestFit="1" customWidth="1"/>
    <col min="9484" max="9484" width="14.54296875" style="10" bestFit="1" customWidth="1"/>
    <col min="9485" max="9728" width="9.08984375" style="10"/>
    <col min="9729" max="9729" width="7.36328125" style="10" customWidth="1"/>
    <col min="9730" max="9730" width="38.453125" style="10" customWidth="1"/>
    <col min="9731" max="9731" width="13.453125" style="10" bestFit="1" customWidth="1"/>
    <col min="9732" max="9732" width="0" style="10" hidden="1" customWidth="1"/>
    <col min="9733" max="9733" width="16.6328125" style="10" customWidth="1"/>
    <col min="9734" max="9734" width="33.90625" style="10" customWidth="1"/>
    <col min="9735" max="9735" width="22.90625" style="10" customWidth="1"/>
    <col min="9736" max="9736" width="15.54296875" style="10" bestFit="1" customWidth="1"/>
    <col min="9737" max="9737" width="16.36328125" style="10" customWidth="1"/>
    <col min="9738" max="9738" width="9.08984375" style="10"/>
    <col min="9739" max="9739" width="17.54296875" style="10" bestFit="1" customWidth="1"/>
    <col min="9740" max="9740" width="14.54296875" style="10" bestFit="1" customWidth="1"/>
    <col min="9741" max="9984" width="9.08984375" style="10"/>
    <col min="9985" max="9985" width="7.36328125" style="10" customWidth="1"/>
    <col min="9986" max="9986" width="38.453125" style="10" customWidth="1"/>
    <col min="9987" max="9987" width="13.453125" style="10" bestFit="1" customWidth="1"/>
    <col min="9988" max="9988" width="0" style="10" hidden="1" customWidth="1"/>
    <col min="9989" max="9989" width="16.6328125" style="10" customWidth="1"/>
    <col min="9990" max="9990" width="33.90625" style="10" customWidth="1"/>
    <col min="9991" max="9991" width="22.90625" style="10" customWidth="1"/>
    <col min="9992" max="9992" width="15.54296875" style="10" bestFit="1" customWidth="1"/>
    <col min="9993" max="9993" width="16.36328125" style="10" customWidth="1"/>
    <col min="9994" max="9994" width="9.08984375" style="10"/>
    <col min="9995" max="9995" width="17.54296875" style="10" bestFit="1" customWidth="1"/>
    <col min="9996" max="9996" width="14.54296875" style="10" bestFit="1" customWidth="1"/>
    <col min="9997" max="10240" width="9.08984375" style="10"/>
    <col min="10241" max="10241" width="7.36328125" style="10" customWidth="1"/>
    <col min="10242" max="10242" width="38.453125" style="10" customWidth="1"/>
    <col min="10243" max="10243" width="13.453125" style="10" bestFit="1" customWidth="1"/>
    <col min="10244" max="10244" width="0" style="10" hidden="1" customWidth="1"/>
    <col min="10245" max="10245" width="16.6328125" style="10" customWidth="1"/>
    <col min="10246" max="10246" width="33.90625" style="10" customWidth="1"/>
    <col min="10247" max="10247" width="22.90625" style="10" customWidth="1"/>
    <col min="10248" max="10248" width="15.54296875" style="10" bestFit="1" customWidth="1"/>
    <col min="10249" max="10249" width="16.36328125" style="10" customWidth="1"/>
    <col min="10250" max="10250" width="9.08984375" style="10"/>
    <col min="10251" max="10251" width="17.54296875" style="10" bestFit="1" customWidth="1"/>
    <col min="10252" max="10252" width="14.54296875" style="10" bestFit="1" customWidth="1"/>
    <col min="10253" max="10496" width="9.08984375" style="10"/>
    <col min="10497" max="10497" width="7.36328125" style="10" customWidth="1"/>
    <col min="10498" max="10498" width="38.453125" style="10" customWidth="1"/>
    <col min="10499" max="10499" width="13.453125" style="10" bestFit="1" customWidth="1"/>
    <col min="10500" max="10500" width="0" style="10" hidden="1" customWidth="1"/>
    <col min="10501" max="10501" width="16.6328125" style="10" customWidth="1"/>
    <col min="10502" max="10502" width="33.90625" style="10" customWidth="1"/>
    <col min="10503" max="10503" width="22.90625" style="10" customWidth="1"/>
    <col min="10504" max="10504" width="15.54296875" style="10" bestFit="1" customWidth="1"/>
    <col min="10505" max="10505" width="16.36328125" style="10" customWidth="1"/>
    <col min="10506" max="10506" width="9.08984375" style="10"/>
    <col min="10507" max="10507" width="17.54296875" style="10" bestFit="1" customWidth="1"/>
    <col min="10508" max="10508" width="14.54296875" style="10" bestFit="1" customWidth="1"/>
    <col min="10509" max="10752" width="9.08984375" style="10"/>
    <col min="10753" max="10753" width="7.36328125" style="10" customWidth="1"/>
    <col min="10754" max="10754" width="38.453125" style="10" customWidth="1"/>
    <col min="10755" max="10755" width="13.453125" style="10" bestFit="1" customWidth="1"/>
    <col min="10756" max="10756" width="0" style="10" hidden="1" customWidth="1"/>
    <col min="10757" max="10757" width="16.6328125" style="10" customWidth="1"/>
    <col min="10758" max="10758" width="33.90625" style="10" customWidth="1"/>
    <col min="10759" max="10759" width="22.90625" style="10" customWidth="1"/>
    <col min="10760" max="10760" width="15.54296875" style="10" bestFit="1" customWidth="1"/>
    <col min="10761" max="10761" width="16.36328125" style="10" customWidth="1"/>
    <col min="10762" max="10762" width="9.08984375" style="10"/>
    <col min="10763" max="10763" width="17.54296875" style="10" bestFit="1" customWidth="1"/>
    <col min="10764" max="10764" width="14.54296875" style="10" bestFit="1" customWidth="1"/>
    <col min="10765" max="11008" width="9.08984375" style="10"/>
    <col min="11009" max="11009" width="7.36328125" style="10" customWidth="1"/>
    <col min="11010" max="11010" width="38.453125" style="10" customWidth="1"/>
    <col min="11011" max="11011" width="13.453125" style="10" bestFit="1" customWidth="1"/>
    <col min="11012" max="11012" width="0" style="10" hidden="1" customWidth="1"/>
    <col min="11013" max="11013" width="16.6328125" style="10" customWidth="1"/>
    <col min="11014" max="11014" width="33.90625" style="10" customWidth="1"/>
    <col min="11015" max="11015" width="22.90625" style="10" customWidth="1"/>
    <col min="11016" max="11016" width="15.54296875" style="10" bestFit="1" customWidth="1"/>
    <col min="11017" max="11017" width="16.36328125" style="10" customWidth="1"/>
    <col min="11018" max="11018" width="9.08984375" style="10"/>
    <col min="11019" max="11019" width="17.54296875" style="10" bestFit="1" customWidth="1"/>
    <col min="11020" max="11020" width="14.54296875" style="10" bestFit="1" customWidth="1"/>
    <col min="11021" max="11264" width="9.08984375" style="10"/>
    <col min="11265" max="11265" width="7.36328125" style="10" customWidth="1"/>
    <col min="11266" max="11266" width="38.453125" style="10" customWidth="1"/>
    <col min="11267" max="11267" width="13.453125" style="10" bestFit="1" customWidth="1"/>
    <col min="11268" max="11268" width="0" style="10" hidden="1" customWidth="1"/>
    <col min="11269" max="11269" width="16.6328125" style="10" customWidth="1"/>
    <col min="11270" max="11270" width="33.90625" style="10" customWidth="1"/>
    <col min="11271" max="11271" width="22.90625" style="10" customWidth="1"/>
    <col min="11272" max="11272" width="15.54296875" style="10" bestFit="1" customWidth="1"/>
    <col min="11273" max="11273" width="16.36328125" style="10" customWidth="1"/>
    <col min="11274" max="11274" width="9.08984375" style="10"/>
    <col min="11275" max="11275" width="17.54296875" style="10" bestFit="1" customWidth="1"/>
    <col min="11276" max="11276" width="14.54296875" style="10" bestFit="1" customWidth="1"/>
    <col min="11277" max="11520" width="9.08984375" style="10"/>
    <col min="11521" max="11521" width="7.36328125" style="10" customWidth="1"/>
    <col min="11522" max="11522" width="38.453125" style="10" customWidth="1"/>
    <col min="11523" max="11523" width="13.453125" style="10" bestFit="1" customWidth="1"/>
    <col min="11524" max="11524" width="0" style="10" hidden="1" customWidth="1"/>
    <col min="11525" max="11525" width="16.6328125" style="10" customWidth="1"/>
    <col min="11526" max="11526" width="33.90625" style="10" customWidth="1"/>
    <col min="11527" max="11527" width="22.90625" style="10" customWidth="1"/>
    <col min="11528" max="11528" width="15.54296875" style="10" bestFit="1" customWidth="1"/>
    <col min="11529" max="11529" width="16.36328125" style="10" customWidth="1"/>
    <col min="11530" max="11530" width="9.08984375" style="10"/>
    <col min="11531" max="11531" width="17.54296875" style="10" bestFit="1" customWidth="1"/>
    <col min="11532" max="11532" width="14.54296875" style="10" bestFit="1" customWidth="1"/>
    <col min="11533" max="11776" width="9.08984375" style="10"/>
    <col min="11777" max="11777" width="7.36328125" style="10" customWidth="1"/>
    <col min="11778" max="11778" width="38.453125" style="10" customWidth="1"/>
    <col min="11779" max="11779" width="13.453125" style="10" bestFit="1" customWidth="1"/>
    <col min="11780" max="11780" width="0" style="10" hidden="1" customWidth="1"/>
    <col min="11781" max="11781" width="16.6328125" style="10" customWidth="1"/>
    <col min="11782" max="11782" width="33.90625" style="10" customWidth="1"/>
    <col min="11783" max="11783" width="22.90625" style="10" customWidth="1"/>
    <col min="11784" max="11784" width="15.54296875" style="10" bestFit="1" customWidth="1"/>
    <col min="11785" max="11785" width="16.36328125" style="10" customWidth="1"/>
    <col min="11786" max="11786" width="9.08984375" style="10"/>
    <col min="11787" max="11787" width="17.54296875" style="10" bestFit="1" customWidth="1"/>
    <col min="11788" max="11788" width="14.54296875" style="10" bestFit="1" customWidth="1"/>
    <col min="11789" max="12032" width="9.08984375" style="10"/>
    <col min="12033" max="12033" width="7.36328125" style="10" customWidth="1"/>
    <col min="12034" max="12034" width="38.453125" style="10" customWidth="1"/>
    <col min="12035" max="12035" width="13.453125" style="10" bestFit="1" customWidth="1"/>
    <col min="12036" max="12036" width="0" style="10" hidden="1" customWidth="1"/>
    <col min="12037" max="12037" width="16.6328125" style="10" customWidth="1"/>
    <col min="12038" max="12038" width="33.90625" style="10" customWidth="1"/>
    <col min="12039" max="12039" width="22.90625" style="10" customWidth="1"/>
    <col min="12040" max="12040" width="15.54296875" style="10" bestFit="1" customWidth="1"/>
    <col min="12041" max="12041" width="16.36328125" style="10" customWidth="1"/>
    <col min="12042" max="12042" width="9.08984375" style="10"/>
    <col min="12043" max="12043" width="17.54296875" style="10" bestFit="1" customWidth="1"/>
    <col min="12044" max="12044" width="14.54296875" style="10" bestFit="1" customWidth="1"/>
    <col min="12045" max="12288" width="9.08984375" style="10"/>
    <col min="12289" max="12289" width="7.36328125" style="10" customWidth="1"/>
    <col min="12290" max="12290" width="38.453125" style="10" customWidth="1"/>
    <col min="12291" max="12291" width="13.453125" style="10" bestFit="1" customWidth="1"/>
    <col min="12292" max="12292" width="0" style="10" hidden="1" customWidth="1"/>
    <col min="12293" max="12293" width="16.6328125" style="10" customWidth="1"/>
    <col min="12294" max="12294" width="33.90625" style="10" customWidth="1"/>
    <col min="12295" max="12295" width="22.90625" style="10" customWidth="1"/>
    <col min="12296" max="12296" width="15.54296875" style="10" bestFit="1" customWidth="1"/>
    <col min="12297" max="12297" width="16.36328125" style="10" customWidth="1"/>
    <col min="12298" max="12298" width="9.08984375" style="10"/>
    <col min="12299" max="12299" width="17.54296875" style="10" bestFit="1" customWidth="1"/>
    <col min="12300" max="12300" width="14.54296875" style="10" bestFit="1" customWidth="1"/>
    <col min="12301" max="12544" width="9.08984375" style="10"/>
    <col min="12545" max="12545" width="7.36328125" style="10" customWidth="1"/>
    <col min="12546" max="12546" width="38.453125" style="10" customWidth="1"/>
    <col min="12547" max="12547" width="13.453125" style="10" bestFit="1" customWidth="1"/>
    <col min="12548" max="12548" width="0" style="10" hidden="1" customWidth="1"/>
    <col min="12549" max="12549" width="16.6328125" style="10" customWidth="1"/>
    <col min="12550" max="12550" width="33.90625" style="10" customWidth="1"/>
    <col min="12551" max="12551" width="22.90625" style="10" customWidth="1"/>
    <col min="12552" max="12552" width="15.54296875" style="10" bestFit="1" customWidth="1"/>
    <col min="12553" max="12553" width="16.36328125" style="10" customWidth="1"/>
    <col min="12554" max="12554" width="9.08984375" style="10"/>
    <col min="12555" max="12555" width="17.54296875" style="10" bestFit="1" customWidth="1"/>
    <col min="12556" max="12556" width="14.54296875" style="10" bestFit="1" customWidth="1"/>
    <col min="12557" max="12800" width="9.08984375" style="10"/>
    <col min="12801" max="12801" width="7.36328125" style="10" customWidth="1"/>
    <col min="12802" max="12802" width="38.453125" style="10" customWidth="1"/>
    <col min="12803" max="12803" width="13.453125" style="10" bestFit="1" customWidth="1"/>
    <col min="12804" max="12804" width="0" style="10" hidden="1" customWidth="1"/>
    <col min="12805" max="12805" width="16.6328125" style="10" customWidth="1"/>
    <col min="12806" max="12806" width="33.90625" style="10" customWidth="1"/>
    <col min="12807" max="12807" width="22.90625" style="10" customWidth="1"/>
    <col min="12808" max="12808" width="15.54296875" style="10" bestFit="1" customWidth="1"/>
    <col min="12809" max="12809" width="16.36328125" style="10" customWidth="1"/>
    <col min="12810" max="12810" width="9.08984375" style="10"/>
    <col min="12811" max="12811" width="17.54296875" style="10" bestFit="1" customWidth="1"/>
    <col min="12812" max="12812" width="14.54296875" style="10" bestFit="1" customWidth="1"/>
    <col min="12813" max="13056" width="9.08984375" style="10"/>
    <col min="13057" max="13057" width="7.36328125" style="10" customWidth="1"/>
    <col min="13058" max="13058" width="38.453125" style="10" customWidth="1"/>
    <col min="13059" max="13059" width="13.453125" style="10" bestFit="1" customWidth="1"/>
    <col min="13060" max="13060" width="0" style="10" hidden="1" customWidth="1"/>
    <col min="13061" max="13061" width="16.6328125" style="10" customWidth="1"/>
    <col min="13062" max="13062" width="33.90625" style="10" customWidth="1"/>
    <col min="13063" max="13063" width="22.90625" style="10" customWidth="1"/>
    <col min="13064" max="13064" width="15.54296875" style="10" bestFit="1" customWidth="1"/>
    <col min="13065" max="13065" width="16.36328125" style="10" customWidth="1"/>
    <col min="13066" max="13066" width="9.08984375" style="10"/>
    <col min="13067" max="13067" width="17.54296875" style="10" bestFit="1" customWidth="1"/>
    <col min="13068" max="13068" width="14.54296875" style="10" bestFit="1" customWidth="1"/>
    <col min="13069" max="13312" width="9.08984375" style="10"/>
    <col min="13313" max="13313" width="7.36328125" style="10" customWidth="1"/>
    <col min="13314" max="13314" width="38.453125" style="10" customWidth="1"/>
    <col min="13315" max="13315" width="13.453125" style="10" bestFit="1" customWidth="1"/>
    <col min="13316" max="13316" width="0" style="10" hidden="1" customWidth="1"/>
    <col min="13317" max="13317" width="16.6328125" style="10" customWidth="1"/>
    <col min="13318" max="13318" width="33.90625" style="10" customWidth="1"/>
    <col min="13319" max="13319" width="22.90625" style="10" customWidth="1"/>
    <col min="13320" max="13320" width="15.54296875" style="10" bestFit="1" customWidth="1"/>
    <col min="13321" max="13321" width="16.36328125" style="10" customWidth="1"/>
    <col min="13322" max="13322" width="9.08984375" style="10"/>
    <col min="13323" max="13323" width="17.54296875" style="10" bestFit="1" customWidth="1"/>
    <col min="13324" max="13324" width="14.54296875" style="10" bestFit="1" customWidth="1"/>
    <col min="13325" max="13568" width="9.08984375" style="10"/>
    <col min="13569" max="13569" width="7.36328125" style="10" customWidth="1"/>
    <col min="13570" max="13570" width="38.453125" style="10" customWidth="1"/>
    <col min="13571" max="13571" width="13.453125" style="10" bestFit="1" customWidth="1"/>
    <col min="13572" max="13572" width="0" style="10" hidden="1" customWidth="1"/>
    <col min="13573" max="13573" width="16.6328125" style="10" customWidth="1"/>
    <col min="13574" max="13574" width="33.90625" style="10" customWidth="1"/>
    <col min="13575" max="13575" width="22.90625" style="10" customWidth="1"/>
    <col min="13576" max="13576" width="15.54296875" style="10" bestFit="1" customWidth="1"/>
    <col min="13577" max="13577" width="16.36328125" style="10" customWidth="1"/>
    <col min="13578" max="13578" width="9.08984375" style="10"/>
    <col min="13579" max="13579" width="17.54296875" style="10" bestFit="1" customWidth="1"/>
    <col min="13580" max="13580" width="14.54296875" style="10" bestFit="1" customWidth="1"/>
    <col min="13581" max="13824" width="9.08984375" style="10"/>
    <col min="13825" max="13825" width="7.36328125" style="10" customWidth="1"/>
    <col min="13826" max="13826" width="38.453125" style="10" customWidth="1"/>
    <col min="13827" max="13827" width="13.453125" style="10" bestFit="1" customWidth="1"/>
    <col min="13828" max="13828" width="0" style="10" hidden="1" customWidth="1"/>
    <col min="13829" max="13829" width="16.6328125" style="10" customWidth="1"/>
    <col min="13830" max="13830" width="33.90625" style="10" customWidth="1"/>
    <col min="13831" max="13831" width="22.90625" style="10" customWidth="1"/>
    <col min="13832" max="13832" width="15.54296875" style="10" bestFit="1" customWidth="1"/>
    <col min="13833" max="13833" width="16.36328125" style="10" customWidth="1"/>
    <col min="13834" max="13834" width="9.08984375" style="10"/>
    <col min="13835" max="13835" width="17.54296875" style="10" bestFit="1" customWidth="1"/>
    <col min="13836" max="13836" width="14.54296875" style="10" bestFit="1" customWidth="1"/>
    <col min="13837" max="14080" width="9.08984375" style="10"/>
    <col min="14081" max="14081" width="7.36328125" style="10" customWidth="1"/>
    <col min="14082" max="14082" width="38.453125" style="10" customWidth="1"/>
    <col min="14083" max="14083" width="13.453125" style="10" bestFit="1" customWidth="1"/>
    <col min="14084" max="14084" width="0" style="10" hidden="1" customWidth="1"/>
    <col min="14085" max="14085" width="16.6328125" style="10" customWidth="1"/>
    <col min="14086" max="14086" width="33.90625" style="10" customWidth="1"/>
    <col min="14087" max="14087" width="22.90625" style="10" customWidth="1"/>
    <col min="14088" max="14088" width="15.54296875" style="10" bestFit="1" customWidth="1"/>
    <col min="14089" max="14089" width="16.36328125" style="10" customWidth="1"/>
    <col min="14090" max="14090" width="9.08984375" style="10"/>
    <col min="14091" max="14091" width="17.54296875" style="10" bestFit="1" customWidth="1"/>
    <col min="14092" max="14092" width="14.54296875" style="10" bestFit="1" customWidth="1"/>
    <col min="14093" max="14336" width="9.08984375" style="10"/>
    <col min="14337" max="14337" width="7.36328125" style="10" customWidth="1"/>
    <col min="14338" max="14338" width="38.453125" style="10" customWidth="1"/>
    <col min="14339" max="14339" width="13.453125" style="10" bestFit="1" customWidth="1"/>
    <col min="14340" max="14340" width="0" style="10" hidden="1" customWidth="1"/>
    <col min="14341" max="14341" width="16.6328125" style="10" customWidth="1"/>
    <col min="14342" max="14342" width="33.90625" style="10" customWidth="1"/>
    <col min="14343" max="14343" width="22.90625" style="10" customWidth="1"/>
    <col min="14344" max="14344" width="15.54296875" style="10" bestFit="1" customWidth="1"/>
    <col min="14345" max="14345" width="16.36328125" style="10" customWidth="1"/>
    <col min="14346" max="14346" width="9.08984375" style="10"/>
    <col min="14347" max="14347" width="17.54296875" style="10" bestFit="1" customWidth="1"/>
    <col min="14348" max="14348" width="14.54296875" style="10" bestFit="1" customWidth="1"/>
    <col min="14349" max="14592" width="9.08984375" style="10"/>
    <col min="14593" max="14593" width="7.36328125" style="10" customWidth="1"/>
    <col min="14594" max="14594" width="38.453125" style="10" customWidth="1"/>
    <col min="14595" max="14595" width="13.453125" style="10" bestFit="1" customWidth="1"/>
    <col min="14596" max="14596" width="0" style="10" hidden="1" customWidth="1"/>
    <col min="14597" max="14597" width="16.6328125" style="10" customWidth="1"/>
    <col min="14598" max="14598" width="33.90625" style="10" customWidth="1"/>
    <col min="14599" max="14599" width="22.90625" style="10" customWidth="1"/>
    <col min="14600" max="14600" width="15.54296875" style="10" bestFit="1" customWidth="1"/>
    <col min="14601" max="14601" width="16.36328125" style="10" customWidth="1"/>
    <col min="14602" max="14602" width="9.08984375" style="10"/>
    <col min="14603" max="14603" width="17.54296875" style="10" bestFit="1" customWidth="1"/>
    <col min="14604" max="14604" width="14.54296875" style="10" bestFit="1" customWidth="1"/>
    <col min="14605" max="14848" width="9.08984375" style="10"/>
    <col min="14849" max="14849" width="7.36328125" style="10" customWidth="1"/>
    <col min="14850" max="14850" width="38.453125" style="10" customWidth="1"/>
    <col min="14851" max="14851" width="13.453125" style="10" bestFit="1" customWidth="1"/>
    <col min="14852" max="14852" width="0" style="10" hidden="1" customWidth="1"/>
    <col min="14853" max="14853" width="16.6328125" style="10" customWidth="1"/>
    <col min="14854" max="14854" width="33.90625" style="10" customWidth="1"/>
    <col min="14855" max="14855" width="22.90625" style="10" customWidth="1"/>
    <col min="14856" max="14856" width="15.54296875" style="10" bestFit="1" customWidth="1"/>
    <col min="14857" max="14857" width="16.36328125" style="10" customWidth="1"/>
    <col min="14858" max="14858" width="9.08984375" style="10"/>
    <col min="14859" max="14859" width="17.54296875" style="10" bestFit="1" customWidth="1"/>
    <col min="14860" max="14860" width="14.54296875" style="10" bestFit="1" customWidth="1"/>
    <col min="14861" max="15104" width="9.08984375" style="10"/>
    <col min="15105" max="15105" width="7.36328125" style="10" customWidth="1"/>
    <col min="15106" max="15106" width="38.453125" style="10" customWidth="1"/>
    <col min="15107" max="15107" width="13.453125" style="10" bestFit="1" customWidth="1"/>
    <col min="15108" max="15108" width="0" style="10" hidden="1" customWidth="1"/>
    <col min="15109" max="15109" width="16.6328125" style="10" customWidth="1"/>
    <col min="15110" max="15110" width="33.90625" style="10" customWidth="1"/>
    <col min="15111" max="15111" width="22.90625" style="10" customWidth="1"/>
    <col min="15112" max="15112" width="15.54296875" style="10" bestFit="1" customWidth="1"/>
    <col min="15113" max="15113" width="16.36328125" style="10" customWidth="1"/>
    <col min="15114" max="15114" width="9.08984375" style="10"/>
    <col min="15115" max="15115" width="17.54296875" style="10" bestFit="1" customWidth="1"/>
    <col min="15116" max="15116" width="14.54296875" style="10" bestFit="1" customWidth="1"/>
    <col min="15117" max="15360" width="9.08984375" style="10"/>
    <col min="15361" max="15361" width="7.36328125" style="10" customWidth="1"/>
    <col min="15362" max="15362" width="38.453125" style="10" customWidth="1"/>
    <col min="15363" max="15363" width="13.453125" style="10" bestFit="1" customWidth="1"/>
    <col min="15364" max="15364" width="0" style="10" hidden="1" customWidth="1"/>
    <col min="15365" max="15365" width="16.6328125" style="10" customWidth="1"/>
    <col min="15366" max="15366" width="33.90625" style="10" customWidth="1"/>
    <col min="15367" max="15367" width="22.90625" style="10" customWidth="1"/>
    <col min="15368" max="15368" width="15.54296875" style="10" bestFit="1" customWidth="1"/>
    <col min="15369" max="15369" width="16.36328125" style="10" customWidth="1"/>
    <col min="15370" max="15370" width="9.08984375" style="10"/>
    <col min="15371" max="15371" width="17.54296875" style="10" bestFit="1" customWidth="1"/>
    <col min="15372" max="15372" width="14.54296875" style="10" bestFit="1" customWidth="1"/>
    <col min="15373" max="15616" width="9.08984375" style="10"/>
    <col min="15617" max="15617" width="7.36328125" style="10" customWidth="1"/>
    <col min="15618" max="15618" width="38.453125" style="10" customWidth="1"/>
    <col min="15619" max="15619" width="13.453125" style="10" bestFit="1" customWidth="1"/>
    <col min="15620" max="15620" width="0" style="10" hidden="1" customWidth="1"/>
    <col min="15621" max="15621" width="16.6328125" style="10" customWidth="1"/>
    <col min="15622" max="15622" width="33.90625" style="10" customWidth="1"/>
    <col min="15623" max="15623" width="22.90625" style="10" customWidth="1"/>
    <col min="15624" max="15624" width="15.54296875" style="10" bestFit="1" customWidth="1"/>
    <col min="15625" max="15625" width="16.36328125" style="10" customWidth="1"/>
    <col min="15626" max="15626" width="9.08984375" style="10"/>
    <col min="15627" max="15627" width="17.54296875" style="10" bestFit="1" customWidth="1"/>
    <col min="15628" max="15628" width="14.54296875" style="10" bestFit="1" customWidth="1"/>
    <col min="15629" max="15872" width="9.08984375" style="10"/>
    <col min="15873" max="15873" width="7.36328125" style="10" customWidth="1"/>
    <col min="15874" max="15874" width="38.453125" style="10" customWidth="1"/>
    <col min="15875" max="15875" width="13.453125" style="10" bestFit="1" customWidth="1"/>
    <col min="15876" max="15876" width="0" style="10" hidden="1" customWidth="1"/>
    <col min="15877" max="15877" width="16.6328125" style="10" customWidth="1"/>
    <col min="15878" max="15878" width="33.90625" style="10" customWidth="1"/>
    <col min="15879" max="15879" width="22.90625" style="10" customWidth="1"/>
    <col min="15880" max="15880" width="15.54296875" style="10" bestFit="1" customWidth="1"/>
    <col min="15881" max="15881" width="16.36328125" style="10" customWidth="1"/>
    <col min="15882" max="15882" width="9.08984375" style="10"/>
    <col min="15883" max="15883" width="17.54296875" style="10" bestFit="1" customWidth="1"/>
    <col min="15884" max="15884" width="14.54296875" style="10" bestFit="1" customWidth="1"/>
    <col min="15885" max="16128" width="9.08984375" style="10"/>
    <col min="16129" max="16129" width="7.36328125" style="10" customWidth="1"/>
    <col min="16130" max="16130" width="38.453125" style="10" customWidth="1"/>
    <col min="16131" max="16131" width="13.453125" style="10" bestFit="1" customWidth="1"/>
    <col min="16132" max="16132" width="0" style="10" hidden="1" customWidth="1"/>
    <col min="16133" max="16133" width="16.6328125" style="10" customWidth="1"/>
    <col min="16134" max="16134" width="33.90625" style="10" customWidth="1"/>
    <col min="16135" max="16135" width="22.90625" style="10" customWidth="1"/>
    <col min="16136" max="16136" width="15.54296875" style="10" bestFit="1" customWidth="1"/>
    <col min="16137" max="16137" width="16.36328125" style="10" customWidth="1"/>
    <col min="16138" max="16138" width="9.08984375" style="10"/>
    <col min="16139" max="16139" width="17.54296875" style="10" bestFit="1" customWidth="1"/>
    <col min="16140" max="16140" width="14.54296875" style="10" bestFit="1" customWidth="1"/>
    <col min="16141" max="16384" width="9.08984375" style="10"/>
  </cols>
  <sheetData>
    <row r="1" spans="1:12" x14ac:dyDescent="0.3">
      <c r="A1" s="61" t="s">
        <v>69</v>
      </c>
      <c r="B1" s="58"/>
      <c r="C1" s="61"/>
      <c r="D1" s="58"/>
      <c r="E1" s="61"/>
      <c r="F1" s="58"/>
      <c r="G1" s="60"/>
      <c r="H1" s="59"/>
      <c r="I1" s="58"/>
    </row>
    <row r="2" spans="1:12" x14ac:dyDescent="0.35">
      <c r="A2" s="717" t="s">
        <v>0</v>
      </c>
      <c r="B2" s="717"/>
      <c r="C2" s="717"/>
      <c r="D2" s="717"/>
      <c r="E2" s="717"/>
      <c r="F2" s="717"/>
      <c r="G2" s="717"/>
      <c r="H2" s="717"/>
      <c r="I2" s="717"/>
    </row>
    <row r="3" spans="1:12" ht="12.65" customHeight="1" x14ac:dyDescent="0.3">
      <c r="A3" s="57"/>
      <c r="B3" s="57"/>
    </row>
    <row r="4" spans="1:12" ht="20.25" customHeight="1" x14ac:dyDescent="0.35">
      <c r="A4" s="718" t="s">
        <v>140</v>
      </c>
      <c r="B4" s="718"/>
      <c r="C4" s="718"/>
      <c r="D4" s="718"/>
      <c r="E4" s="718"/>
      <c r="F4" s="718"/>
      <c r="G4" s="718"/>
      <c r="H4" s="718"/>
      <c r="I4" s="718"/>
    </row>
    <row r="5" spans="1:12" ht="20.25" customHeight="1" x14ac:dyDescent="0.35">
      <c r="A5" s="746"/>
      <c r="B5" s="746"/>
      <c r="C5" s="746"/>
      <c r="D5" s="746"/>
      <c r="E5" s="746"/>
      <c r="F5" s="746"/>
      <c r="G5" s="746"/>
      <c r="H5" s="746"/>
      <c r="I5" s="746"/>
    </row>
    <row r="6" spans="1:12" ht="18.649999999999999" customHeight="1" x14ac:dyDescent="0.35">
      <c r="G6" s="716"/>
      <c r="H6" s="716"/>
      <c r="I6" s="716"/>
    </row>
    <row r="7" spans="1:12" ht="57.65" customHeight="1" x14ac:dyDescent="0.35">
      <c r="A7" s="55" t="s">
        <v>16</v>
      </c>
      <c r="B7" s="55" t="s">
        <v>68</v>
      </c>
      <c r="C7" s="55" t="s">
        <v>67</v>
      </c>
      <c r="D7" s="55" t="s">
        <v>66</v>
      </c>
      <c r="E7" s="55" t="s">
        <v>65</v>
      </c>
      <c r="F7" s="55" t="s">
        <v>93</v>
      </c>
      <c r="G7" s="56" t="s">
        <v>64</v>
      </c>
      <c r="H7" s="55" t="s">
        <v>63</v>
      </c>
      <c r="I7" s="55" t="s">
        <v>22</v>
      </c>
    </row>
    <row r="8" spans="1:12" ht="32.25" customHeight="1" x14ac:dyDescent="0.35">
      <c r="A8" s="144">
        <v>1</v>
      </c>
      <c r="B8" s="145" t="s">
        <v>87</v>
      </c>
      <c r="C8" s="146"/>
      <c r="D8" s="146"/>
      <c r="E8" s="147"/>
      <c r="F8" s="148"/>
      <c r="G8" s="148">
        <v>5000000000</v>
      </c>
      <c r="H8" s="72" t="s">
        <v>39</v>
      </c>
      <c r="I8" s="74"/>
      <c r="L8" s="47" t="e">
        <f>#REF!/1000000</f>
        <v>#REF!</v>
      </c>
    </row>
    <row r="9" spans="1:12" ht="21.75" customHeight="1" x14ac:dyDescent="0.35">
      <c r="A9" s="144">
        <v>2</v>
      </c>
      <c r="B9" s="145" t="s">
        <v>13</v>
      </c>
      <c r="C9" s="146"/>
      <c r="D9" s="146"/>
      <c r="E9" s="147"/>
      <c r="F9" s="148"/>
      <c r="G9" s="149">
        <v>15000000000</v>
      </c>
      <c r="H9" s="72" t="s">
        <v>39</v>
      </c>
      <c r="I9" s="74"/>
      <c r="L9" s="47"/>
    </row>
    <row r="10" spans="1:12" ht="19.5" customHeight="1" x14ac:dyDescent="0.35">
      <c r="A10" s="144">
        <v>3</v>
      </c>
      <c r="B10" s="145" t="s">
        <v>70</v>
      </c>
      <c r="C10" s="146"/>
      <c r="D10" s="146"/>
      <c r="E10" s="147"/>
      <c r="F10" s="148"/>
      <c r="G10" s="148">
        <v>5000000000</v>
      </c>
      <c r="H10" s="72" t="s">
        <v>39</v>
      </c>
      <c r="I10" s="74"/>
    </row>
    <row r="11" spans="1:12" ht="19.5" customHeight="1" x14ac:dyDescent="0.35">
      <c r="A11" s="144">
        <v>4</v>
      </c>
      <c r="B11" s="145" t="s">
        <v>14</v>
      </c>
      <c r="C11" s="146"/>
      <c r="D11" s="146"/>
      <c r="E11" s="147"/>
      <c r="F11" s="148"/>
      <c r="G11" s="148">
        <v>5000000000</v>
      </c>
      <c r="H11" s="72" t="s">
        <v>39</v>
      </c>
      <c r="I11" s="75"/>
    </row>
    <row r="12" spans="1:12" ht="20.25" customHeight="1" x14ac:dyDescent="0.35">
      <c r="A12" s="144">
        <v>5</v>
      </c>
      <c r="B12" s="139" t="s">
        <v>97</v>
      </c>
      <c r="C12" s="140"/>
      <c r="D12" s="140"/>
      <c r="E12" s="140"/>
      <c r="F12" s="141"/>
      <c r="G12" s="143">
        <v>5000000000</v>
      </c>
      <c r="H12" s="72" t="s">
        <v>39</v>
      </c>
      <c r="I12" s="96"/>
    </row>
    <row r="13" spans="1:12" ht="20.25" customHeight="1" x14ac:dyDescent="0.35">
      <c r="A13" s="144">
        <v>6</v>
      </c>
      <c r="B13" s="22" t="s">
        <v>58</v>
      </c>
      <c r="C13" s="51" t="s">
        <v>92</v>
      </c>
      <c r="D13" s="142"/>
      <c r="E13" s="101" t="s">
        <v>57</v>
      </c>
      <c r="F13" s="22" t="s">
        <v>56</v>
      </c>
      <c r="G13" s="104">
        <v>1000000000</v>
      </c>
      <c r="H13" s="72" t="s">
        <v>39</v>
      </c>
      <c r="I13" s="48"/>
    </row>
    <row r="14" spans="1:12" ht="46.5" x14ac:dyDescent="0.35">
      <c r="A14" s="144">
        <v>7</v>
      </c>
      <c r="B14" s="22" t="s">
        <v>98</v>
      </c>
      <c r="C14" s="51" t="s">
        <v>92</v>
      </c>
      <c r="D14" s="142"/>
      <c r="E14" s="101" t="s">
        <v>28</v>
      </c>
      <c r="F14" s="22" t="s">
        <v>100</v>
      </c>
      <c r="G14" s="104">
        <v>150000000</v>
      </c>
      <c r="H14" s="98" t="s">
        <v>141</v>
      </c>
      <c r="I14" s="48"/>
    </row>
    <row r="15" spans="1:12" x14ac:dyDescent="0.35">
      <c r="A15" s="52"/>
      <c r="B15" s="52" t="s">
        <v>15</v>
      </c>
      <c r="C15" s="21"/>
      <c r="D15" s="51"/>
      <c r="E15" s="50"/>
      <c r="F15" s="50"/>
      <c r="G15" s="49">
        <f>SUM(G8:G14)</f>
        <v>36150000000</v>
      </c>
      <c r="H15" s="21"/>
      <c r="I15" s="48"/>
    </row>
    <row r="16" spans="1:12" x14ac:dyDescent="0.35">
      <c r="A16" s="43"/>
      <c r="B16" s="45"/>
      <c r="C16" s="43"/>
      <c r="D16" s="43"/>
      <c r="E16" s="43"/>
      <c r="F16" s="43"/>
      <c r="G16" s="44"/>
      <c r="H16" s="43"/>
      <c r="I16" s="43"/>
    </row>
    <row r="17" spans="1:9" x14ac:dyDescent="0.35">
      <c r="A17" s="43"/>
      <c r="B17" s="45"/>
      <c r="C17" s="43"/>
      <c r="D17" s="43"/>
      <c r="E17" s="43"/>
      <c r="F17" s="43"/>
      <c r="G17" s="44"/>
      <c r="H17" s="43"/>
      <c r="I17" s="46"/>
    </row>
    <row r="18" spans="1:9" x14ac:dyDescent="0.35">
      <c r="A18" s="43"/>
      <c r="B18" s="45"/>
      <c r="C18" s="43"/>
      <c r="D18" s="43"/>
      <c r="E18" s="43"/>
      <c r="F18" s="43"/>
      <c r="G18" s="44"/>
      <c r="H18" s="43"/>
      <c r="I18" s="43"/>
    </row>
    <row r="19" spans="1:9" x14ac:dyDescent="0.35">
      <c r="A19" s="43"/>
      <c r="B19" s="45"/>
      <c r="C19" s="43"/>
      <c r="D19" s="43"/>
      <c r="E19" s="43"/>
      <c r="F19" s="43"/>
      <c r="G19" s="44"/>
      <c r="H19" s="43"/>
      <c r="I19" s="43"/>
    </row>
    <row r="20" spans="1:9" x14ac:dyDescent="0.35">
      <c r="A20" s="43"/>
      <c r="B20" s="45"/>
      <c r="C20" s="43"/>
      <c r="D20" s="43"/>
      <c r="E20" s="43"/>
      <c r="F20" s="43"/>
      <c r="G20" s="44"/>
      <c r="H20" s="43"/>
      <c r="I20" s="43"/>
    </row>
    <row r="21" spans="1:9" x14ac:dyDescent="0.35">
      <c r="A21" s="43"/>
      <c r="B21" s="45"/>
      <c r="C21" s="43"/>
      <c r="D21" s="43"/>
      <c r="E21" s="43"/>
      <c r="F21" s="43"/>
      <c r="G21" s="44"/>
      <c r="H21" s="43"/>
      <c r="I21" s="43"/>
    </row>
    <row r="22" spans="1:9" x14ac:dyDescent="0.35">
      <c r="A22" s="43"/>
      <c r="B22" s="45"/>
      <c r="C22" s="43"/>
      <c r="D22" s="43"/>
      <c r="E22" s="43"/>
      <c r="F22" s="43"/>
      <c r="G22" s="44"/>
      <c r="H22" s="43"/>
      <c r="I22" s="43"/>
    </row>
    <row r="23" spans="1:9" x14ac:dyDescent="0.35">
      <c r="A23" s="43"/>
      <c r="B23" s="45"/>
      <c r="C23" s="43"/>
      <c r="D23" s="43"/>
      <c r="E23" s="43"/>
      <c r="F23" s="43"/>
      <c r="G23" s="44"/>
      <c r="H23" s="43"/>
      <c r="I23" s="43"/>
    </row>
    <row r="24" spans="1:9" x14ac:dyDescent="0.35">
      <c r="A24" s="43"/>
      <c r="B24" s="45"/>
      <c r="C24" s="43"/>
      <c r="D24" s="43"/>
      <c r="E24" s="43"/>
      <c r="F24" s="43"/>
      <c r="G24" s="44"/>
      <c r="H24" s="43"/>
      <c r="I24" s="43"/>
    </row>
    <row r="25" spans="1:9" x14ac:dyDescent="0.35">
      <c r="A25" s="43"/>
      <c r="B25" s="45"/>
      <c r="C25" s="43"/>
      <c r="D25" s="43"/>
      <c r="E25" s="43"/>
      <c r="F25" s="43"/>
      <c r="G25" s="44"/>
      <c r="H25" s="43"/>
      <c r="I25" s="43"/>
    </row>
    <row r="26" spans="1:9" x14ac:dyDescent="0.35">
      <c r="A26" s="43"/>
      <c r="B26" s="45"/>
      <c r="C26" s="43"/>
      <c r="D26" s="43"/>
      <c r="E26" s="43"/>
      <c r="F26" s="43"/>
      <c r="G26" s="44"/>
      <c r="H26" s="43"/>
      <c r="I26" s="43"/>
    </row>
    <row r="27" spans="1:9" x14ac:dyDescent="0.35">
      <c r="A27" s="43"/>
      <c r="B27" s="45"/>
      <c r="C27" s="43"/>
      <c r="D27" s="43"/>
      <c r="E27" s="43"/>
      <c r="F27" s="43"/>
      <c r="G27" s="44"/>
      <c r="H27" s="43"/>
      <c r="I27" s="43"/>
    </row>
    <row r="28" spans="1:9" x14ac:dyDescent="0.35">
      <c r="A28" s="43"/>
      <c r="B28" s="45"/>
      <c r="C28" s="43"/>
      <c r="D28" s="43"/>
      <c r="E28" s="43"/>
      <c r="F28" s="43"/>
      <c r="G28" s="44"/>
      <c r="H28" s="43"/>
      <c r="I28" s="43"/>
    </row>
    <row r="29" spans="1:9" x14ac:dyDescent="0.35">
      <c r="A29" s="43"/>
      <c r="B29" s="45"/>
      <c r="C29" s="43"/>
      <c r="D29" s="43"/>
      <c r="E29" s="43"/>
      <c r="F29" s="43"/>
      <c r="G29" s="44"/>
      <c r="H29" s="43"/>
      <c r="I29" s="43"/>
    </row>
    <row r="30" spans="1:9" x14ac:dyDescent="0.35">
      <c r="A30" s="43"/>
      <c r="B30" s="45"/>
      <c r="C30" s="43"/>
      <c r="D30" s="43"/>
      <c r="E30" s="43"/>
      <c r="F30" s="43"/>
      <c r="G30" s="44"/>
      <c r="H30" s="43"/>
      <c r="I30" s="43"/>
    </row>
    <row r="31" spans="1:9" x14ac:dyDescent="0.35">
      <c r="A31" s="43"/>
      <c r="B31" s="45"/>
      <c r="C31" s="43"/>
      <c r="D31" s="43"/>
      <c r="E31" s="43"/>
      <c r="F31" s="43"/>
      <c r="G31" s="44"/>
      <c r="H31" s="43"/>
      <c r="I31" s="43"/>
    </row>
    <row r="32" spans="1:9" x14ac:dyDescent="0.35">
      <c r="A32" s="43"/>
      <c r="B32" s="45"/>
      <c r="C32" s="43"/>
      <c r="D32" s="43"/>
      <c r="E32" s="43"/>
      <c r="F32" s="43"/>
      <c r="G32" s="44"/>
      <c r="H32" s="43"/>
      <c r="I32" s="43"/>
    </row>
    <row r="33" spans="1:9" x14ac:dyDescent="0.35">
      <c r="A33" s="43"/>
      <c r="B33" s="45"/>
      <c r="C33" s="43"/>
      <c r="D33" s="43"/>
      <c r="E33" s="43"/>
      <c r="F33" s="43"/>
      <c r="G33" s="44"/>
      <c r="H33" s="43"/>
      <c r="I33" s="43"/>
    </row>
    <row r="34" spans="1:9" x14ac:dyDescent="0.35">
      <c r="A34" s="43"/>
      <c r="B34" s="45"/>
      <c r="C34" s="43"/>
      <c r="D34" s="43"/>
      <c r="E34" s="43"/>
      <c r="F34" s="43"/>
      <c r="G34" s="44"/>
      <c r="H34" s="43"/>
      <c r="I34" s="43"/>
    </row>
    <row r="35" spans="1:9" x14ac:dyDescent="0.35">
      <c r="A35" s="43"/>
      <c r="B35" s="45"/>
      <c r="C35" s="43"/>
      <c r="D35" s="43"/>
      <c r="E35" s="43"/>
      <c r="F35" s="43"/>
      <c r="G35" s="44"/>
      <c r="H35" s="43"/>
      <c r="I35" s="43"/>
    </row>
    <row r="36" spans="1:9" x14ac:dyDescent="0.35">
      <c r="A36" s="43"/>
      <c r="B36" s="45"/>
      <c r="C36" s="43"/>
      <c r="D36" s="43"/>
      <c r="E36" s="43"/>
      <c r="F36" s="43"/>
      <c r="G36" s="44"/>
      <c r="H36" s="43"/>
      <c r="I36" s="43"/>
    </row>
    <row r="37" spans="1:9" x14ac:dyDescent="0.35">
      <c r="A37" s="43"/>
      <c r="B37" s="45"/>
      <c r="C37" s="43"/>
      <c r="D37" s="43"/>
      <c r="E37" s="43"/>
      <c r="F37" s="43"/>
      <c r="G37" s="44"/>
      <c r="H37" s="43"/>
      <c r="I37" s="43"/>
    </row>
    <row r="38" spans="1:9" x14ac:dyDescent="0.35">
      <c r="A38" s="43"/>
      <c r="B38" s="45"/>
      <c r="C38" s="43"/>
      <c r="D38" s="43"/>
      <c r="E38" s="43"/>
      <c r="F38" s="43"/>
      <c r="G38" s="44"/>
      <c r="H38" s="43"/>
      <c r="I38" s="43"/>
    </row>
    <row r="39" spans="1:9" x14ac:dyDescent="0.35">
      <c r="A39" s="43"/>
      <c r="B39" s="45"/>
      <c r="C39" s="43"/>
      <c r="D39" s="43"/>
      <c r="E39" s="43"/>
      <c r="F39" s="43"/>
      <c r="G39" s="44"/>
      <c r="H39" s="43"/>
      <c r="I39" s="43"/>
    </row>
    <row r="40" spans="1:9" x14ac:dyDescent="0.35">
      <c r="A40" s="43"/>
      <c r="B40" s="45"/>
      <c r="C40" s="43"/>
      <c r="D40" s="43"/>
      <c r="E40" s="43"/>
      <c r="F40" s="43"/>
      <c r="G40" s="44"/>
      <c r="H40" s="43"/>
      <c r="I40" s="43"/>
    </row>
    <row r="41" spans="1:9" x14ac:dyDescent="0.35">
      <c r="A41" s="43"/>
      <c r="B41" s="45"/>
      <c r="C41" s="43"/>
      <c r="D41" s="43"/>
      <c r="E41" s="43"/>
      <c r="F41" s="43"/>
      <c r="G41" s="44"/>
      <c r="H41" s="43"/>
      <c r="I41" s="43"/>
    </row>
    <row r="42" spans="1:9" x14ac:dyDescent="0.35">
      <c r="A42" s="43"/>
      <c r="B42" s="45"/>
      <c r="C42" s="43"/>
      <c r="D42" s="43"/>
      <c r="E42" s="43"/>
      <c r="F42" s="43"/>
      <c r="G42" s="44"/>
      <c r="H42" s="43"/>
      <c r="I42" s="43"/>
    </row>
    <row r="43" spans="1:9" x14ac:dyDescent="0.35">
      <c r="A43" s="43"/>
      <c r="B43" s="45"/>
      <c r="C43" s="43"/>
      <c r="D43" s="43"/>
      <c r="E43" s="43"/>
      <c r="F43" s="43"/>
      <c r="G43" s="44"/>
      <c r="H43" s="43"/>
      <c r="I43" s="43"/>
    </row>
    <row r="44" spans="1:9" x14ac:dyDescent="0.35">
      <c r="A44" s="43"/>
      <c r="B44" s="45"/>
      <c r="C44" s="43"/>
      <c r="D44" s="43"/>
      <c r="E44" s="43"/>
      <c r="F44" s="43"/>
      <c r="G44" s="44"/>
      <c r="H44" s="43"/>
      <c r="I44" s="43"/>
    </row>
    <row r="45" spans="1:9" x14ac:dyDescent="0.35">
      <c r="A45" s="43"/>
      <c r="B45" s="45"/>
      <c r="C45" s="43"/>
      <c r="D45" s="43"/>
      <c r="E45" s="43"/>
      <c r="F45" s="43"/>
      <c r="G45" s="44"/>
      <c r="H45" s="43"/>
      <c r="I45" s="43"/>
    </row>
    <row r="46" spans="1:9" x14ac:dyDescent="0.35">
      <c r="A46" s="43"/>
      <c r="B46" s="45"/>
      <c r="C46" s="43"/>
      <c r="D46" s="43"/>
      <c r="E46" s="43"/>
      <c r="F46" s="43"/>
      <c r="G46" s="44"/>
      <c r="H46" s="43"/>
      <c r="I46" s="43"/>
    </row>
    <row r="47" spans="1:9" x14ac:dyDescent="0.35">
      <c r="A47" s="43"/>
      <c r="B47" s="45"/>
      <c r="C47" s="43"/>
      <c r="D47" s="43"/>
      <c r="E47" s="43"/>
      <c r="F47" s="43"/>
      <c r="G47" s="44"/>
      <c r="H47" s="43"/>
      <c r="I47" s="43"/>
    </row>
    <row r="48" spans="1:9" x14ac:dyDescent="0.35">
      <c r="A48" s="43"/>
      <c r="B48" s="45"/>
      <c r="C48" s="43"/>
      <c r="D48" s="43"/>
      <c r="E48" s="43"/>
      <c r="F48" s="43"/>
      <c r="G48" s="44"/>
      <c r="H48" s="43"/>
      <c r="I48" s="43"/>
    </row>
    <row r="49" spans="1:9" x14ac:dyDescent="0.35">
      <c r="A49" s="43"/>
      <c r="B49" s="45"/>
      <c r="C49" s="43"/>
      <c r="D49" s="43"/>
      <c r="E49" s="43"/>
      <c r="F49" s="43"/>
      <c r="G49" s="44"/>
      <c r="H49" s="43"/>
      <c r="I49" s="43"/>
    </row>
    <row r="50" spans="1:9" x14ac:dyDescent="0.35">
      <c r="A50" s="43"/>
      <c r="B50" s="45"/>
      <c r="C50" s="43"/>
      <c r="D50" s="43"/>
      <c r="E50" s="43"/>
      <c r="F50" s="43"/>
      <c r="G50" s="44"/>
      <c r="H50" s="43"/>
      <c r="I50" s="43"/>
    </row>
    <row r="51" spans="1:9" x14ac:dyDescent="0.35">
      <c r="A51" s="43"/>
      <c r="B51" s="45"/>
      <c r="C51" s="43"/>
      <c r="D51" s="43"/>
      <c r="E51" s="43"/>
      <c r="F51" s="43"/>
      <c r="G51" s="44"/>
      <c r="H51" s="43"/>
      <c r="I51" s="43"/>
    </row>
    <row r="52" spans="1:9" x14ac:dyDescent="0.35">
      <c r="A52" s="43"/>
      <c r="B52" s="45"/>
      <c r="C52" s="43"/>
      <c r="D52" s="43"/>
      <c r="E52" s="43"/>
      <c r="F52" s="43"/>
      <c r="G52" s="44"/>
      <c r="H52" s="43"/>
      <c r="I52" s="43"/>
    </row>
    <row r="53" spans="1:9" x14ac:dyDescent="0.35">
      <c r="A53" s="43"/>
      <c r="B53" s="45"/>
      <c r="C53" s="43"/>
      <c r="D53" s="43"/>
      <c r="E53" s="43"/>
      <c r="F53" s="43"/>
      <c r="G53" s="44"/>
      <c r="H53" s="43"/>
      <c r="I53" s="43"/>
    </row>
    <row r="54" spans="1:9" x14ac:dyDescent="0.35">
      <c r="A54" s="43"/>
      <c r="B54" s="45"/>
      <c r="C54" s="43"/>
      <c r="D54" s="43"/>
      <c r="E54" s="43"/>
      <c r="F54" s="43"/>
      <c r="G54" s="44"/>
      <c r="H54" s="43"/>
      <c r="I54" s="43"/>
    </row>
    <row r="55" spans="1:9" x14ac:dyDescent="0.35">
      <c r="A55" s="43"/>
      <c r="B55" s="45"/>
      <c r="C55" s="43"/>
      <c r="D55" s="43"/>
      <c r="E55" s="43"/>
      <c r="F55" s="43"/>
      <c r="G55" s="44"/>
      <c r="H55" s="43"/>
      <c r="I55" s="43"/>
    </row>
    <row r="56" spans="1:9" x14ac:dyDescent="0.35">
      <c r="A56" s="43"/>
      <c r="B56" s="45"/>
      <c r="C56" s="43"/>
      <c r="D56" s="43"/>
      <c r="E56" s="43"/>
      <c r="F56" s="43"/>
      <c r="G56" s="44"/>
      <c r="H56" s="43"/>
      <c r="I56" s="43"/>
    </row>
    <row r="57" spans="1:9" x14ac:dyDescent="0.35">
      <c r="A57" s="43"/>
      <c r="B57" s="45"/>
      <c r="C57" s="43"/>
      <c r="D57" s="43"/>
      <c r="E57" s="43"/>
      <c r="F57" s="43"/>
      <c r="G57" s="44"/>
      <c r="H57" s="43"/>
      <c r="I57" s="43"/>
    </row>
    <row r="58" spans="1:9" x14ac:dyDescent="0.35">
      <c r="A58" s="43"/>
      <c r="B58" s="45"/>
      <c r="C58" s="43"/>
      <c r="D58" s="43"/>
      <c r="E58" s="43"/>
      <c r="F58" s="43"/>
      <c r="G58" s="44"/>
      <c r="H58" s="43"/>
      <c r="I58" s="43"/>
    </row>
    <row r="59" spans="1:9" x14ac:dyDescent="0.35">
      <c r="A59" s="43"/>
      <c r="B59" s="45"/>
      <c r="C59" s="43"/>
      <c r="D59" s="43"/>
      <c r="E59" s="43"/>
      <c r="F59" s="43"/>
      <c r="G59" s="44"/>
      <c r="H59" s="43"/>
      <c r="I59" s="43"/>
    </row>
    <row r="60" spans="1:9" x14ac:dyDescent="0.35">
      <c r="A60" s="43"/>
      <c r="B60" s="45"/>
      <c r="C60" s="43"/>
      <c r="D60" s="43"/>
      <c r="E60" s="43"/>
      <c r="F60" s="43"/>
      <c r="G60" s="44"/>
      <c r="H60" s="43"/>
      <c r="I60" s="43"/>
    </row>
    <row r="61" spans="1:9" x14ac:dyDescent="0.35">
      <c r="A61" s="43"/>
      <c r="B61" s="45"/>
      <c r="C61" s="43"/>
      <c r="D61" s="43"/>
      <c r="E61" s="43"/>
      <c r="F61" s="43"/>
      <c r="G61" s="44"/>
      <c r="H61" s="43"/>
      <c r="I61" s="43"/>
    </row>
    <row r="62" spans="1:9" x14ac:dyDescent="0.35">
      <c r="A62" s="43"/>
      <c r="B62" s="45"/>
      <c r="C62" s="43"/>
      <c r="D62" s="43"/>
      <c r="E62" s="43"/>
      <c r="F62" s="43"/>
      <c r="G62" s="44"/>
      <c r="H62" s="43"/>
      <c r="I62" s="43"/>
    </row>
    <row r="63" spans="1:9" x14ac:dyDescent="0.35">
      <c r="A63" s="43"/>
      <c r="B63" s="45"/>
      <c r="C63" s="43"/>
      <c r="D63" s="43"/>
      <c r="E63" s="43"/>
      <c r="F63" s="43"/>
      <c r="G63" s="44"/>
      <c r="H63" s="43"/>
      <c r="I63" s="43"/>
    </row>
    <row r="64" spans="1:9" x14ac:dyDescent="0.35">
      <c r="A64" s="43"/>
      <c r="B64" s="45"/>
      <c r="C64" s="43"/>
      <c r="D64" s="43"/>
      <c r="E64" s="43"/>
      <c r="F64" s="43"/>
      <c r="G64" s="44"/>
      <c r="H64" s="43"/>
      <c r="I64" s="43"/>
    </row>
    <row r="65" spans="1:9" x14ac:dyDescent="0.35">
      <c r="A65" s="43"/>
      <c r="B65" s="45"/>
      <c r="C65" s="43"/>
      <c r="D65" s="43"/>
      <c r="E65" s="43"/>
      <c r="F65" s="43"/>
      <c r="G65" s="44"/>
      <c r="H65" s="43"/>
      <c r="I65" s="43"/>
    </row>
    <row r="66" spans="1:9" x14ac:dyDescent="0.35">
      <c r="A66" s="43"/>
      <c r="B66" s="45"/>
      <c r="C66" s="43"/>
      <c r="D66" s="43"/>
      <c r="E66" s="43"/>
      <c r="F66" s="43"/>
      <c r="G66" s="44"/>
      <c r="H66" s="43"/>
      <c r="I66" s="43"/>
    </row>
    <row r="67" spans="1:9" x14ac:dyDescent="0.35">
      <c r="A67" s="43"/>
      <c r="B67" s="45"/>
      <c r="C67" s="43"/>
      <c r="D67" s="43"/>
      <c r="E67" s="43"/>
      <c r="F67" s="43"/>
      <c r="G67" s="44"/>
      <c r="H67" s="43"/>
      <c r="I67" s="43"/>
    </row>
    <row r="68" spans="1:9" x14ac:dyDescent="0.35">
      <c r="A68" s="43"/>
      <c r="B68" s="45"/>
      <c r="C68" s="43"/>
      <c r="D68" s="43"/>
      <c r="E68" s="43"/>
      <c r="F68" s="43"/>
      <c r="G68" s="44"/>
      <c r="H68" s="43"/>
      <c r="I68" s="43"/>
    </row>
    <row r="69" spans="1:9" x14ac:dyDescent="0.35">
      <c r="A69" s="43"/>
      <c r="B69" s="45"/>
      <c r="C69" s="43"/>
      <c r="D69" s="43"/>
      <c r="E69" s="43"/>
      <c r="F69" s="43"/>
      <c r="G69" s="44"/>
      <c r="H69" s="43"/>
      <c r="I69" s="43"/>
    </row>
    <row r="70" spans="1:9" x14ac:dyDescent="0.35">
      <c r="A70" s="43"/>
      <c r="B70" s="45"/>
      <c r="C70" s="43"/>
      <c r="D70" s="43"/>
      <c r="E70" s="43"/>
      <c r="F70" s="43"/>
      <c r="G70" s="44"/>
      <c r="H70" s="43"/>
      <c r="I70" s="43"/>
    </row>
    <row r="71" spans="1:9" x14ac:dyDescent="0.35">
      <c r="A71" s="43"/>
      <c r="B71" s="45"/>
      <c r="C71" s="43"/>
      <c r="D71" s="43"/>
      <c r="E71" s="43"/>
      <c r="F71" s="43"/>
      <c r="G71" s="44"/>
      <c r="H71" s="43"/>
      <c r="I71" s="43"/>
    </row>
    <row r="72" spans="1:9" x14ac:dyDescent="0.35">
      <c r="A72" s="43"/>
      <c r="B72" s="45"/>
      <c r="C72" s="43"/>
      <c r="D72" s="43"/>
      <c r="E72" s="43"/>
      <c r="F72" s="43"/>
      <c r="G72" s="44"/>
      <c r="H72" s="43"/>
      <c r="I72" s="43"/>
    </row>
    <row r="73" spans="1:9" x14ac:dyDescent="0.35">
      <c r="A73" s="43"/>
      <c r="B73" s="45"/>
      <c r="C73" s="43"/>
      <c r="D73" s="43"/>
      <c r="E73" s="43"/>
      <c r="F73" s="43"/>
      <c r="G73" s="44"/>
      <c r="H73" s="43"/>
      <c r="I73" s="43"/>
    </row>
    <row r="74" spans="1:9" x14ac:dyDescent="0.35">
      <c r="A74" s="43"/>
      <c r="B74" s="45"/>
      <c r="C74" s="43"/>
      <c r="D74" s="43"/>
      <c r="E74" s="43"/>
      <c r="F74" s="43"/>
      <c r="G74" s="44"/>
      <c r="H74" s="43"/>
      <c r="I74" s="43"/>
    </row>
    <row r="75" spans="1:9" x14ac:dyDescent="0.35">
      <c r="A75" s="43"/>
      <c r="B75" s="45"/>
      <c r="C75" s="43"/>
      <c r="D75" s="43"/>
      <c r="E75" s="43"/>
      <c r="F75" s="43"/>
      <c r="G75" s="44"/>
      <c r="H75" s="43"/>
      <c r="I75" s="43"/>
    </row>
    <row r="76" spans="1:9" x14ac:dyDescent="0.35">
      <c r="A76" s="43"/>
      <c r="B76" s="45"/>
      <c r="C76" s="43"/>
      <c r="D76" s="43"/>
      <c r="E76" s="43"/>
      <c r="F76" s="43"/>
      <c r="G76" s="44"/>
      <c r="H76" s="43"/>
      <c r="I76" s="43"/>
    </row>
    <row r="77" spans="1:9" x14ac:dyDescent="0.35">
      <c r="A77" s="43"/>
      <c r="B77" s="45"/>
      <c r="C77" s="43"/>
      <c r="D77" s="43"/>
      <c r="E77" s="43"/>
      <c r="F77" s="43"/>
      <c r="G77" s="44"/>
      <c r="H77" s="43"/>
      <c r="I77" s="43"/>
    </row>
    <row r="78" spans="1:9" x14ac:dyDescent="0.35">
      <c r="A78" s="43"/>
      <c r="B78" s="45"/>
      <c r="C78" s="43"/>
      <c r="D78" s="43"/>
      <c r="E78" s="43"/>
      <c r="F78" s="43"/>
      <c r="G78" s="44"/>
      <c r="H78" s="43"/>
      <c r="I78" s="43"/>
    </row>
    <row r="79" spans="1:9" x14ac:dyDescent="0.35">
      <c r="A79" s="43"/>
      <c r="B79" s="45"/>
      <c r="C79" s="43"/>
      <c r="D79" s="43"/>
      <c r="E79" s="43"/>
      <c r="F79" s="43"/>
      <c r="G79" s="44"/>
      <c r="H79" s="43"/>
      <c r="I79" s="43"/>
    </row>
    <row r="80" spans="1:9" x14ac:dyDescent="0.35">
      <c r="A80" s="43"/>
      <c r="B80" s="45"/>
      <c r="C80" s="43"/>
      <c r="D80" s="43"/>
      <c r="E80" s="43"/>
      <c r="F80" s="43"/>
      <c r="G80" s="44"/>
      <c r="H80" s="43"/>
      <c r="I80" s="43"/>
    </row>
    <row r="81" spans="1:9" x14ac:dyDescent="0.35">
      <c r="A81" s="43"/>
      <c r="B81" s="45"/>
      <c r="C81" s="43"/>
      <c r="D81" s="43"/>
      <c r="E81" s="43"/>
      <c r="F81" s="43"/>
      <c r="G81" s="44"/>
      <c r="H81" s="43"/>
      <c r="I81" s="43"/>
    </row>
    <row r="82" spans="1:9" x14ac:dyDescent="0.35">
      <c r="A82" s="43"/>
      <c r="B82" s="45"/>
      <c r="C82" s="43"/>
      <c r="D82" s="43"/>
      <c r="E82" s="43"/>
      <c r="F82" s="43"/>
      <c r="G82" s="44"/>
      <c r="H82" s="43"/>
      <c r="I82" s="43"/>
    </row>
    <row r="83" spans="1:9" x14ac:dyDescent="0.35">
      <c r="A83" s="43"/>
      <c r="B83" s="45"/>
      <c r="C83" s="43"/>
      <c r="D83" s="43"/>
      <c r="E83" s="43"/>
      <c r="F83" s="43"/>
      <c r="G83" s="44"/>
      <c r="H83" s="43"/>
      <c r="I83" s="43"/>
    </row>
    <row r="84" spans="1:9" x14ac:dyDescent="0.35">
      <c r="A84" s="43"/>
      <c r="B84" s="45"/>
      <c r="C84" s="43"/>
      <c r="D84" s="43"/>
      <c r="E84" s="43"/>
      <c r="F84" s="43"/>
      <c r="G84" s="44"/>
      <c r="H84" s="43"/>
      <c r="I84" s="43"/>
    </row>
    <row r="85" spans="1:9" x14ac:dyDescent="0.35">
      <c r="A85" s="43"/>
      <c r="B85" s="45"/>
      <c r="C85" s="43"/>
      <c r="D85" s="43"/>
      <c r="E85" s="43"/>
      <c r="F85" s="43"/>
      <c r="G85" s="44"/>
      <c r="H85" s="43"/>
      <c r="I85" s="43"/>
    </row>
    <row r="86" spans="1:9" x14ac:dyDescent="0.35">
      <c r="A86" s="43"/>
      <c r="B86" s="45"/>
      <c r="C86" s="43"/>
      <c r="D86" s="43"/>
      <c r="E86" s="43"/>
      <c r="F86" s="43"/>
      <c r="G86" s="44"/>
      <c r="H86" s="43"/>
      <c r="I86" s="43"/>
    </row>
    <row r="87" spans="1:9" x14ac:dyDescent="0.35">
      <c r="A87" s="43"/>
      <c r="B87" s="45"/>
      <c r="C87" s="43"/>
      <c r="D87" s="43"/>
      <c r="E87" s="43"/>
      <c r="F87" s="43"/>
      <c r="G87" s="44"/>
      <c r="H87" s="43"/>
      <c r="I87" s="43"/>
    </row>
    <row r="88" spans="1:9" x14ac:dyDescent="0.35">
      <c r="A88" s="43"/>
      <c r="B88" s="45"/>
      <c r="C88" s="43"/>
      <c r="D88" s="43"/>
      <c r="E88" s="43"/>
      <c r="F88" s="43"/>
      <c r="G88" s="44"/>
      <c r="H88" s="43"/>
      <c r="I88" s="43"/>
    </row>
    <row r="89" spans="1:9" x14ac:dyDescent="0.35">
      <c r="A89" s="43"/>
      <c r="B89" s="45"/>
      <c r="C89" s="43"/>
      <c r="D89" s="43"/>
      <c r="E89" s="43"/>
      <c r="F89" s="43"/>
      <c r="G89" s="44"/>
      <c r="H89" s="43"/>
      <c r="I89" s="43"/>
    </row>
    <row r="90" spans="1:9" x14ac:dyDescent="0.35">
      <c r="A90" s="43"/>
      <c r="B90" s="45"/>
      <c r="C90" s="43"/>
      <c r="D90" s="43"/>
      <c r="E90" s="43"/>
      <c r="F90" s="43"/>
      <c r="G90" s="44"/>
      <c r="H90" s="43"/>
      <c r="I90" s="43"/>
    </row>
    <row r="91" spans="1:9" x14ac:dyDescent="0.35">
      <c r="A91" s="43"/>
      <c r="B91" s="45"/>
      <c r="C91" s="43"/>
      <c r="D91" s="43"/>
      <c r="E91" s="43"/>
      <c r="F91" s="43"/>
      <c r="G91" s="44"/>
      <c r="H91" s="43"/>
      <c r="I91" s="43"/>
    </row>
    <row r="92" spans="1:9" x14ac:dyDescent="0.35">
      <c r="A92" s="43"/>
      <c r="B92" s="45"/>
      <c r="C92" s="43"/>
      <c r="D92" s="43"/>
      <c r="E92" s="43"/>
      <c r="F92" s="43"/>
      <c r="G92" s="44"/>
      <c r="H92" s="43"/>
      <c r="I92" s="43"/>
    </row>
    <row r="93" spans="1:9" x14ac:dyDescent="0.35">
      <c r="A93" s="43"/>
      <c r="B93" s="45"/>
      <c r="C93" s="43"/>
      <c r="D93" s="43"/>
      <c r="E93" s="43"/>
      <c r="F93" s="43"/>
      <c r="G93" s="44"/>
      <c r="H93" s="43"/>
      <c r="I93" s="43"/>
    </row>
    <row r="94" spans="1:9" x14ac:dyDescent="0.35">
      <c r="A94" s="43"/>
      <c r="B94" s="45"/>
      <c r="C94" s="43"/>
      <c r="D94" s="43"/>
      <c r="E94" s="43"/>
      <c r="F94" s="43"/>
      <c r="G94" s="44"/>
      <c r="H94" s="43"/>
      <c r="I94" s="43"/>
    </row>
    <row r="95" spans="1:9" x14ac:dyDescent="0.35">
      <c r="A95" s="43"/>
      <c r="B95" s="45"/>
      <c r="C95" s="43"/>
      <c r="D95" s="43"/>
      <c r="E95" s="43"/>
      <c r="F95" s="43"/>
      <c r="G95" s="44"/>
      <c r="H95" s="43"/>
      <c r="I95" s="43"/>
    </row>
    <row r="96" spans="1:9" x14ac:dyDescent="0.35">
      <c r="A96" s="43"/>
      <c r="B96" s="45"/>
      <c r="C96" s="43"/>
      <c r="D96" s="43"/>
      <c r="E96" s="43"/>
      <c r="F96" s="43"/>
      <c r="G96" s="44"/>
      <c r="H96" s="43"/>
      <c r="I96" s="43"/>
    </row>
    <row r="97" spans="1:10" s="40" customFormat="1" x14ac:dyDescent="0.35">
      <c r="A97" s="43"/>
      <c r="B97" s="45"/>
      <c r="C97" s="43"/>
      <c r="D97" s="43"/>
      <c r="E97" s="43"/>
      <c r="F97" s="43"/>
      <c r="G97" s="44"/>
      <c r="H97" s="43"/>
      <c r="I97" s="43"/>
      <c r="J97" s="10"/>
    </row>
    <row r="98" spans="1:10" x14ac:dyDescent="0.35">
      <c r="A98" s="43"/>
      <c r="B98" s="45"/>
      <c r="C98" s="43"/>
      <c r="D98" s="43"/>
      <c r="E98" s="43"/>
      <c r="F98" s="43"/>
      <c r="G98" s="44"/>
      <c r="H98" s="43"/>
      <c r="I98" s="43"/>
    </row>
    <row r="99" spans="1:10" x14ac:dyDescent="0.35">
      <c r="A99" s="43"/>
      <c r="B99" s="45"/>
      <c r="C99" s="43"/>
      <c r="D99" s="43"/>
      <c r="E99" s="43"/>
      <c r="F99" s="43"/>
      <c r="G99" s="44"/>
      <c r="H99" s="43"/>
      <c r="I99" s="43"/>
    </row>
    <row r="100" spans="1:10" x14ac:dyDescent="0.35">
      <c r="A100" s="43"/>
      <c r="B100" s="45"/>
      <c r="C100" s="43"/>
      <c r="D100" s="43"/>
      <c r="E100" s="43"/>
      <c r="F100" s="43"/>
      <c r="G100" s="44"/>
      <c r="H100" s="43"/>
      <c r="I100" s="43"/>
    </row>
    <row r="101" spans="1:10" x14ac:dyDescent="0.35">
      <c r="B101" s="42" t="s">
        <v>55</v>
      </c>
      <c r="G101" s="41" t="e">
        <f>SUM(#REF!,#REF!)</f>
        <v>#REF!</v>
      </c>
    </row>
    <row r="105" spans="1:10" x14ac:dyDescent="0.35">
      <c r="J105" s="40"/>
    </row>
  </sheetData>
  <mergeCells count="7">
    <mergeCell ref="G6:I6"/>
    <mergeCell ref="A2:B2"/>
    <mergeCell ref="C2:D2"/>
    <mergeCell ref="E2:F2"/>
    <mergeCell ref="G2:I2"/>
    <mergeCell ref="A4:I4"/>
    <mergeCell ref="A5:I5"/>
  </mergeCells>
  <pageMargins left="0.75" right="0.15748031496063" top="0.37992125999999998" bottom="0.47" header="0.196850393700787" footer="0.17"/>
  <pageSetup paperSize="9" orientation="landscape" r:id="rId1"/>
  <headerFooter alignWithMargins="0">
    <oddFooter>&amp;C&amp;P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49"/>
  <sheetViews>
    <sheetView topLeftCell="A44" zoomScale="93" zoomScaleNormal="93" workbookViewId="0">
      <selection activeCell="F33" sqref="F33"/>
    </sheetView>
  </sheetViews>
  <sheetFormatPr defaultColWidth="9.08984375" defaultRowHeight="14" x14ac:dyDescent="0.3"/>
  <cols>
    <col min="1" max="1" width="5.54296875" style="11" customWidth="1"/>
    <col min="2" max="2" width="19" style="11" customWidth="1"/>
    <col min="3" max="3" width="20.453125" style="11" customWidth="1"/>
    <col min="4" max="4" width="9.08984375" style="11"/>
    <col min="5" max="6" width="7.90625" style="11" customWidth="1"/>
    <col min="7" max="7" width="7.6328125" style="11" customWidth="1"/>
    <col min="8" max="8" width="17.6328125" style="11" customWidth="1"/>
    <col min="9" max="9" width="18.453125" style="11" customWidth="1"/>
    <col min="10" max="10" width="14" style="11" customWidth="1"/>
    <col min="11" max="11" width="14.6328125" style="11" customWidth="1"/>
    <col min="12" max="16384" width="9.08984375" style="11"/>
  </cols>
  <sheetData>
    <row r="1" spans="1:12" ht="15.5" x14ac:dyDescent="0.3">
      <c r="A1" s="727" t="s">
        <v>142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10"/>
    </row>
    <row r="2" spans="1:12" ht="15.5" x14ac:dyDescent="0.3">
      <c r="A2" s="727"/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10"/>
    </row>
    <row r="3" spans="1:12" ht="21.75" customHeight="1" x14ac:dyDescent="0.3">
      <c r="A3" s="10"/>
      <c r="B3" s="10"/>
      <c r="C3" s="10"/>
      <c r="D3" s="10"/>
      <c r="E3" s="10"/>
      <c r="F3" s="10"/>
      <c r="G3" s="10"/>
      <c r="H3" s="10"/>
      <c r="I3" s="728" t="s">
        <v>1</v>
      </c>
      <c r="J3" s="728"/>
      <c r="K3" s="728"/>
      <c r="L3" s="10"/>
    </row>
    <row r="4" spans="1:12" ht="15.5" x14ac:dyDescent="0.3">
      <c r="A4" s="729" t="s">
        <v>16</v>
      </c>
      <c r="B4" s="730" t="s">
        <v>17</v>
      </c>
      <c r="C4" s="730" t="s">
        <v>18</v>
      </c>
      <c r="D4" s="729" t="s">
        <v>19</v>
      </c>
      <c r="E4" s="732" t="s">
        <v>20</v>
      </c>
      <c r="F4" s="733"/>
      <c r="G4" s="734"/>
      <c r="H4" s="729" t="s">
        <v>21</v>
      </c>
      <c r="I4" s="729"/>
      <c r="J4" s="729" t="s">
        <v>143</v>
      </c>
      <c r="K4" s="729" t="s">
        <v>22</v>
      </c>
      <c r="L4" s="10"/>
    </row>
    <row r="5" spans="1:12" ht="30" x14ac:dyDescent="0.3">
      <c r="A5" s="730"/>
      <c r="B5" s="731"/>
      <c r="C5" s="731"/>
      <c r="D5" s="730"/>
      <c r="E5" s="724" t="s">
        <v>23</v>
      </c>
      <c r="F5" s="725"/>
      <c r="G5" s="12" t="s">
        <v>24</v>
      </c>
      <c r="H5" s="12" t="s">
        <v>25</v>
      </c>
      <c r="I5" s="12" t="s">
        <v>26</v>
      </c>
      <c r="J5" s="730"/>
      <c r="K5" s="730"/>
      <c r="L5" s="10"/>
    </row>
    <row r="6" spans="1:12" ht="15.5" x14ac:dyDescent="0.3">
      <c r="A6" s="13"/>
      <c r="B6" s="13"/>
      <c r="C6" s="13"/>
      <c r="D6" s="13"/>
      <c r="E6" s="14" t="s">
        <v>27</v>
      </c>
      <c r="F6" s="14" t="s">
        <v>28</v>
      </c>
      <c r="G6" s="13"/>
      <c r="H6" s="82"/>
      <c r="I6" s="13"/>
      <c r="J6" s="13"/>
      <c r="K6" s="13"/>
      <c r="L6" s="10"/>
    </row>
    <row r="7" spans="1:12" ht="87.75" customHeight="1" x14ac:dyDescent="0.3">
      <c r="A7" s="15">
        <v>1</v>
      </c>
      <c r="B7" s="16" t="s">
        <v>29</v>
      </c>
      <c r="C7" s="15"/>
      <c r="D7" s="15" t="s">
        <v>30</v>
      </c>
      <c r="E7" s="150">
        <v>4</v>
      </c>
      <c r="F7" s="150">
        <v>0</v>
      </c>
      <c r="G7" s="150">
        <v>1</v>
      </c>
      <c r="H7" s="17">
        <v>15000000</v>
      </c>
      <c r="I7" s="17">
        <v>15000000</v>
      </c>
      <c r="J7" s="15" t="s">
        <v>144</v>
      </c>
      <c r="K7" s="15" t="s">
        <v>31</v>
      </c>
      <c r="L7" s="10"/>
    </row>
    <row r="8" spans="1:12" ht="39" customHeight="1" x14ac:dyDescent="0.3">
      <c r="A8" s="15">
        <v>2</v>
      </c>
      <c r="B8" s="18" t="s">
        <v>29</v>
      </c>
      <c r="C8" s="15"/>
      <c r="D8" s="15" t="s">
        <v>30</v>
      </c>
      <c r="E8" s="150">
        <v>5</v>
      </c>
      <c r="F8" s="150">
        <v>1</v>
      </c>
      <c r="G8" s="150">
        <v>1</v>
      </c>
      <c r="H8" s="83">
        <v>15000000</v>
      </c>
      <c r="I8" s="151">
        <v>15000000</v>
      </c>
      <c r="J8" s="15" t="s">
        <v>32</v>
      </c>
      <c r="K8" s="15" t="s">
        <v>33</v>
      </c>
      <c r="L8" s="10"/>
    </row>
    <row r="9" spans="1:12" ht="31.5" customHeight="1" x14ac:dyDescent="0.35">
      <c r="A9" s="15">
        <v>3</v>
      </c>
      <c r="B9" s="15" t="s">
        <v>29</v>
      </c>
      <c r="C9" s="15"/>
      <c r="D9" s="19" t="s">
        <v>34</v>
      </c>
      <c r="E9" s="150">
        <v>5</v>
      </c>
      <c r="F9" s="150">
        <v>5</v>
      </c>
      <c r="G9" s="150">
        <v>5</v>
      </c>
      <c r="H9" s="83">
        <v>15000000</v>
      </c>
      <c r="I9" s="151">
        <v>75000000</v>
      </c>
      <c r="J9" s="15" t="s">
        <v>145</v>
      </c>
      <c r="K9" s="15" t="s">
        <v>35</v>
      </c>
      <c r="L9" s="10"/>
    </row>
    <row r="10" spans="1:12" ht="37.5" customHeight="1" x14ac:dyDescent="0.3">
      <c r="A10" s="15">
        <v>4</v>
      </c>
      <c r="B10" s="20" t="s">
        <v>29</v>
      </c>
      <c r="C10" s="15"/>
      <c r="D10" s="90" t="s">
        <v>34</v>
      </c>
      <c r="E10" s="150"/>
      <c r="F10" s="150">
        <v>1</v>
      </c>
      <c r="G10" s="150">
        <v>1</v>
      </c>
      <c r="H10" s="83">
        <v>15000000</v>
      </c>
      <c r="I10" s="151">
        <v>15000000</v>
      </c>
      <c r="J10" s="15" t="s">
        <v>32</v>
      </c>
      <c r="K10" s="15" t="s">
        <v>36</v>
      </c>
      <c r="L10" s="10"/>
    </row>
    <row r="11" spans="1:12" ht="47.25" customHeight="1" x14ac:dyDescent="0.3">
      <c r="A11" s="15">
        <v>5</v>
      </c>
      <c r="B11" s="89" t="s">
        <v>37</v>
      </c>
      <c r="C11" s="15"/>
      <c r="D11" s="90" t="s">
        <v>38</v>
      </c>
      <c r="E11" s="150"/>
      <c r="F11" s="150"/>
      <c r="G11" s="152">
        <v>2</v>
      </c>
      <c r="H11" s="84">
        <v>10000000</v>
      </c>
      <c r="I11" s="151">
        <f>G11*H11</f>
        <v>20000000</v>
      </c>
      <c r="J11" s="15" t="s">
        <v>146</v>
      </c>
      <c r="K11" s="15" t="s">
        <v>39</v>
      </c>
      <c r="L11" s="10"/>
    </row>
    <row r="12" spans="1:12" ht="82.5" customHeight="1" x14ac:dyDescent="0.3">
      <c r="A12" s="15">
        <v>6</v>
      </c>
      <c r="B12" s="53" t="s">
        <v>29</v>
      </c>
      <c r="C12" s="79"/>
      <c r="D12" s="21" t="s">
        <v>30</v>
      </c>
      <c r="E12" s="79"/>
      <c r="F12" s="79"/>
      <c r="G12" s="153">
        <v>2</v>
      </c>
      <c r="H12" s="80">
        <v>15000000</v>
      </c>
      <c r="I12" s="81">
        <v>30000000</v>
      </c>
      <c r="J12" s="15" t="s">
        <v>147</v>
      </c>
      <c r="K12" s="15" t="s">
        <v>39</v>
      </c>
      <c r="L12" s="10"/>
    </row>
    <row r="13" spans="1:12" ht="39" customHeight="1" x14ac:dyDescent="0.3">
      <c r="A13" s="15">
        <v>7</v>
      </c>
      <c r="B13" s="53" t="s">
        <v>90</v>
      </c>
      <c r="C13" s="78"/>
      <c r="D13" s="21" t="s">
        <v>38</v>
      </c>
      <c r="E13" s="78"/>
      <c r="F13" s="78"/>
      <c r="G13" s="153">
        <v>1</v>
      </c>
      <c r="H13" s="81">
        <v>135000000</v>
      </c>
      <c r="I13" s="81">
        <v>135000000</v>
      </c>
      <c r="J13" s="15" t="s">
        <v>148</v>
      </c>
      <c r="K13" s="15" t="s">
        <v>39</v>
      </c>
      <c r="L13" s="10"/>
    </row>
    <row r="14" spans="1:12" ht="44.25" customHeight="1" x14ac:dyDescent="0.3">
      <c r="A14" s="15">
        <v>8</v>
      </c>
      <c r="B14" s="154" t="s">
        <v>149</v>
      </c>
      <c r="C14" s="78"/>
      <c r="D14" s="21" t="s">
        <v>38</v>
      </c>
      <c r="E14" s="78"/>
      <c r="F14" s="78"/>
      <c r="G14" s="155">
        <v>41</v>
      </c>
      <c r="H14" s="81">
        <v>45000000</v>
      </c>
      <c r="I14" s="81">
        <v>1845000000</v>
      </c>
      <c r="J14" s="15"/>
      <c r="K14" s="156" t="s">
        <v>39</v>
      </c>
      <c r="L14" s="10"/>
    </row>
    <row r="15" spans="1:12" ht="66" customHeight="1" x14ac:dyDescent="0.3">
      <c r="A15" s="15">
        <v>9</v>
      </c>
      <c r="B15" s="91" t="s">
        <v>150</v>
      </c>
      <c r="C15" s="78"/>
      <c r="D15" s="21" t="s">
        <v>151</v>
      </c>
      <c r="E15" s="78"/>
      <c r="F15" s="78"/>
      <c r="G15" s="155">
        <v>1</v>
      </c>
      <c r="H15" s="157">
        <v>10000000000</v>
      </c>
      <c r="I15" s="158">
        <v>10000000000</v>
      </c>
      <c r="J15" s="15"/>
      <c r="K15" s="15" t="s">
        <v>39</v>
      </c>
      <c r="L15" s="10"/>
    </row>
    <row r="16" spans="1:12" ht="36.75" customHeight="1" x14ac:dyDescent="0.3">
      <c r="A16" s="15">
        <v>10</v>
      </c>
      <c r="B16" s="159" t="s">
        <v>152</v>
      </c>
      <c r="C16" s="79"/>
      <c r="D16" s="21" t="s">
        <v>153</v>
      </c>
      <c r="E16" s="150"/>
      <c r="F16" s="150"/>
      <c r="G16" s="150">
        <v>50</v>
      </c>
      <c r="H16" s="160">
        <v>22000000</v>
      </c>
      <c r="I16" s="158">
        <v>1100000000</v>
      </c>
      <c r="J16" s="15"/>
      <c r="K16" s="15" t="s">
        <v>39</v>
      </c>
      <c r="L16" s="10"/>
    </row>
    <row r="17" spans="1:12" ht="51.75" customHeight="1" x14ac:dyDescent="0.3">
      <c r="A17" s="15">
        <v>11</v>
      </c>
      <c r="B17" s="161" t="s">
        <v>154</v>
      </c>
      <c r="C17" s="77"/>
      <c r="D17" s="162" t="s">
        <v>155</v>
      </c>
      <c r="E17" s="77"/>
      <c r="F17" s="77"/>
      <c r="G17" s="163">
        <v>1</v>
      </c>
      <c r="H17" s="164">
        <v>1000000000</v>
      </c>
      <c r="I17" s="165">
        <v>1000000000</v>
      </c>
      <c r="J17" s="166"/>
      <c r="K17" s="166" t="s">
        <v>39</v>
      </c>
      <c r="L17" s="10"/>
    </row>
    <row r="18" spans="1:12" ht="99" customHeight="1" x14ac:dyDescent="0.3">
      <c r="A18" s="15">
        <v>12</v>
      </c>
      <c r="B18" s="167" t="s">
        <v>40</v>
      </c>
      <c r="C18" s="78"/>
      <c r="D18" s="21" t="s">
        <v>30</v>
      </c>
      <c r="E18" s="150">
        <v>0</v>
      </c>
      <c r="F18" s="150">
        <v>0</v>
      </c>
      <c r="G18" s="150">
        <v>1</v>
      </c>
      <c r="H18" s="81">
        <v>15000000</v>
      </c>
      <c r="I18" s="158">
        <v>15000000</v>
      </c>
      <c r="J18" s="15" t="s">
        <v>156</v>
      </c>
      <c r="K18" s="15" t="s">
        <v>39</v>
      </c>
      <c r="L18" s="10"/>
    </row>
    <row r="19" spans="1:12" ht="90" customHeight="1" x14ac:dyDescent="0.3">
      <c r="A19" s="15">
        <v>13</v>
      </c>
      <c r="B19" s="168" t="s">
        <v>157</v>
      </c>
      <c r="C19" s="77"/>
      <c r="D19" s="92" t="s">
        <v>30</v>
      </c>
      <c r="E19" s="13">
        <v>0</v>
      </c>
      <c r="F19" s="13">
        <v>0</v>
      </c>
      <c r="G19" s="13">
        <v>2</v>
      </c>
      <c r="H19" s="93">
        <v>25000000</v>
      </c>
      <c r="I19" s="169">
        <v>50000000</v>
      </c>
      <c r="J19" s="156" t="s">
        <v>41</v>
      </c>
      <c r="K19" s="156" t="s">
        <v>39</v>
      </c>
      <c r="L19" s="10"/>
    </row>
    <row r="20" spans="1:12" ht="150" customHeight="1" x14ac:dyDescent="0.3">
      <c r="A20" s="15">
        <v>14</v>
      </c>
      <c r="B20" s="22" t="s">
        <v>158</v>
      </c>
      <c r="C20" s="78"/>
      <c r="D20" s="21" t="s">
        <v>30</v>
      </c>
      <c r="E20" s="150">
        <v>0</v>
      </c>
      <c r="F20" s="150">
        <v>0</v>
      </c>
      <c r="G20" s="150">
        <v>2</v>
      </c>
      <c r="H20" s="81">
        <v>15000000</v>
      </c>
      <c r="I20" s="158">
        <v>30000000</v>
      </c>
      <c r="J20" s="15" t="s">
        <v>42</v>
      </c>
      <c r="K20" s="15" t="s">
        <v>39</v>
      </c>
      <c r="L20" s="10"/>
    </row>
    <row r="21" spans="1:12" ht="36" customHeight="1" x14ac:dyDescent="0.3">
      <c r="A21" s="15">
        <v>15</v>
      </c>
      <c r="B21" s="22" t="s">
        <v>43</v>
      </c>
      <c r="C21" s="77"/>
      <c r="D21" s="21" t="s">
        <v>30</v>
      </c>
      <c r="E21" s="150">
        <v>39</v>
      </c>
      <c r="F21" s="150">
        <v>2</v>
      </c>
      <c r="G21" s="150">
        <v>10</v>
      </c>
      <c r="H21" s="81">
        <v>30000000</v>
      </c>
      <c r="I21" s="169">
        <v>300000000</v>
      </c>
      <c r="J21" s="15"/>
      <c r="K21" s="15" t="s">
        <v>39</v>
      </c>
      <c r="L21" s="10"/>
    </row>
    <row r="22" spans="1:12" ht="64.5" customHeight="1" x14ac:dyDescent="0.3">
      <c r="A22" s="15">
        <v>17</v>
      </c>
      <c r="B22" s="18" t="s">
        <v>159</v>
      </c>
      <c r="C22" s="18" t="s">
        <v>160</v>
      </c>
      <c r="D22" s="20" t="s">
        <v>38</v>
      </c>
      <c r="E22" s="150"/>
      <c r="F22" s="150"/>
      <c r="G22" s="170" t="s">
        <v>161</v>
      </c>
      <c r="H22" s="171">
        <v>12000000</v>
      </c>
      <c r="I22" s="172">
        <v>48000000</v>
      </c>
      <c r="J22" s="15" t="s">
        <v>162</v>
      </c>
      <c r="K22" s="15" t="s">
        <v>44</v>
      </c>
      <c r="L22" s="10"/>
    </row>
    <row r="23" spans="1:12" ht="54.75" customHeight="1" x14ac:dyDescent="0.3">
      <c r="A23" s="15">
        <v>18</v>
      </c>
      <c r="B23" s="18" t="s">
        <v>37</v>
      </c>
      <c r="C23" s="23"/>
      <c r="D23" s="94" t="s">
        <v>38</v>
      </c>
      <c r="E23" s="10"/>
      <c r="F23" s="173"/>
      <c r="G23" s="95">
        <v>1</v>
      </c>
      <c r="H23" s="85">
        <v>10000000</v>
      </c>
      <c r="I23" s="174">
        <f>G23*H23</f>
        <v>10000000</v>
      </c>
      <c r="J23" s="15" t="s">
        <v>45</v>
      </c>
      <c r="K23" s="15" t="s">
        <v>44</v>
      </c>
      <c r="L23" s="10"/>
    </row>
    <row r="24" spans="1:12" ht="33" customHeight="1" x14ac:dyDescent="0.3">
      <c r="A24" s="15">
        <v>19</v>
      </c>
      <c r="B24" s="175" t="s">
        <v>163</v>
      </c>
      <c r="C24" s="26"/>
      <c r="D24" s="175" t="s">
        <v>153</v>
      </c>
      <c r="E24" s="176"/>
      <c r="F24" s="26">
        <v>2</v>
      </c>
      <c r="G24" s="175">
        <v>2</v>
      </c>
      <c r="H24" s="86">
        <v>15000000</v>
      </c>
      <c r="I24" s="177">
        <f>G24*H24</f>
        <v>30000000</v>
      </c>
      <c r="J24" s="15" t="s">
        <v>32</v>
      </c>
      <c r="K24" s="15" t="s">
        <v>164</v>
      </c>
      <c r="L24" s="10"/>
    </row>
    <row r="25" spans="1:12" ht="52.5" customHeight="1" x14ac:dyDescent="0.3">
      <c r="A25" s="15">
        <v>20</v>
      </c>
      <c r="B25" s="16" t="s">
        <v>163</v>
      </c>
      <c r="C25" s="15"/>
      <c r="D25" s="178" t="s">
        <v>34</v>
      </c>
      <c r="E25" s="150"/>
      <c r="F25" s="150"/>
      <c r="G25" s="150">
        <v>2</v>
      </c>
      <c r="H25" s="17">
        <v>15000000</v>
      </c>
      <c r="I25" s="17">
        <v>30000000</v>
      </c>
      <c r="J25" s="15" t="s">
        <v>45</v>
      </c>
      <c r="K25" s="15" t="s">
        <v>46</v>
      </c>
      <c r="L25" s="10"/>
    </row>
    <row r="26" spans="1:12" ht="51" customHeight="1" x14ac:dyDescent="0.3">
      <c r="A26" s="15">
        <v>21</v>
      </c>
      <c r="B26" s="16" t="s">
        <v>47</v>
      </c>
      <c r="C26" s="15"/>
      <c r="D26" s="178" t="s">
        <v>48</v>
      </c>
      <c r="E26" s="150"/>
      <c r="F26" s="150"/>
      <c r="G26" s="150">
        <v>1</v>
      </c>
      <c r="H26" s="17">
        <v>10000000</v>
      </c>
      <c r="I26" s="17">
        <f>G26*H26</f>
        <v>10000000</v>
      </c>
      <c r="J26" s="15" t="s">
        <v>45</v>
      </c>
      <c r="K26" s="15" t="s">
        <v>46</v>
      </c>
      <c r="L26" s="10"/>
    </row>
    <row r="27" spans="1:12" ht="51" customHeight="1" x14ac:dyDescent="0.3">
      <c r="A27" s="15">
        <v>22</v>
      </c>
      <c r="B27" s="88" t="s">
        <v>49</v>
      </c>
      <c r="C27" s="27"/>
      <c r="D27" s="150" t="s">
        <v>50</v>
      </c>
      <c r="E27" s="150"/>
      <c r="F27" s="150"/>
      <c r="G27" s="150">
        <v>1</v>
      </c>
      <c r="H27" s="29">
        <v>32000000</v>
      </c>
      <c r="I27" s="29">
        <v>32000000</v>
      </c>
      <c r="J27" s="15" t="s">
        <v>45</v>
      </c>
      <c r="K27" s="20" t="s">
        <v>51</v>
      </c>
      <c r="L27" s="10"/>
    </row>
    <row r="28" spans="1:12" ht="33" customHeight="1" x14ac:dyDescent="0.3">
      <c r="A28" s="15">
        <v>23</v>
      </c>
      <c r="B28" s="30" t="s">
        <v>29</v>
      </c>
      <c r="C28" s="30"/>
      <c r="D28" s="13" t="s">
        <v>30</v>
      </c>
      <c r="E28" s="13"/>
      <c r="F28" s="13"/>
      <c r="G28" s="13">
        <v>1</v>
      </c>
      <c r="H28" s="87">
        <v>15000000</v>
      </c>
      <c r="I28" s="29">
        <v>15000000</v>
      </c>
      <c r="J28" s="15" t="s">
        <v>165</v>
      </c>
      <c r="K28" s="20" t="s">
        <v>33</v>
      </c>
      <c r="L28" s="10"/>
    </row>
    <row r="29" spans="1:12" ht="96.75" customHeight="1" x14ac:dyDescent="0.3">
      <c r="A29" s="15">
        <v>24</v>
      </c>
      <c r="B29" s="24" t="s">
        <v>120</v>
      </c>
      <c r="C29" s="179" t="s">
        <v>166</v>
      </c>
      <c r="D29" s="31" t="s">
        <v>48</v>
      </c>
      <c r="E29" s="31"/>
      <c r="F29" s="31">
        <v>0</v>
      </c>
      <c r="G29" s="180">
        <v>1</v>
      </c>
      <c r="H29" s="32">
        <v>400000000</v>
      </c>
      <c r="I29" s="32">
        <f>G29*H29</f>
        <v>400000000</v>
      </c>
      <c r="J29" s="181" t="s">
        <v>167</v>
      </c>
      <c r="K29" s="181" t="s">
        <v>168</v>
      </c>
      <c r="L29" s="10"/>
    </row>
    <row r="30" spans="1:12" ht="180" customHeight="1" x14ac:dyDescent="0.3">
      <c r="A30" s="15">
        <v>25</v>
      </c>
      <c r="B30" s="24" t="s">
        <v>169</v>
      </c>
      <c r="C30" s="179" t="s">
        <v>170</v>
      </c>
      <c r="D30" s="31" t="s">
        <v>30</v>
      </c>
      <c r="E30" s="31"/>
      <c r="F30" s="31">
        <v>0</v>
      </c>
      <c r="G30" s="33" t="s">
        <v>171</v>
      </c>
      <c r="H30" s="32">
        <v>120000000</v>
      </c>
      <c r="I30" s="32">
        <f>H30</f>
        <v>120000000</v>
      </c>
      <c r="J30" s="181" t="s">
        <v>172</v>
      </c>
      <c r="K30" s="181" t="s">
        <v>168</v>
      </c>
      <c r="L30" s="10"/>
    </row>
    <row r="31" spans="1:12" ht="25.5" customHeight="1" x14ac:dyDescent="0.3">
      <c r="A31" s="15">
        <v>26</v>
      </c>
      <c r="B31" s="179" t="s">
        <v>173</v>
      </c>
      <c r="C31" s="179" t="s">
        <v>174</v>
      </c>
      <c r="D31" s="182" t="s">
        <v>50</v>
      </c>
      <c r="E31" s="182"/>
      <c r="F31" s="182">
        <v>0</v>
      </c>
      <c r="G31" s="183">
        <v>1</v>
      </c>
      <c r="H31" s="184">
        <v>85000000</v>
      </c>
      <c r="I31" s="185">
        <f>G31*H31</f>
        <v>85000000</v>
      </c>
      <c r="J31" s="15"/>
      <c r="K31" s="20" t="s">
        <v>175</v>
      </c>
      <c r="L31" s="10"/>
    </row>
    <row r="32" spans="1:12" s="187" customFormat="1" ht="116.25" customHeight="1" x14ac:dyDescent="0.35">
      <c r="A32" s="15">
        <v>27</v>
      </c>
      <c r="B32" s="24" t="s">
        <v>176</v>
      </c>
      <c r="C32" s="24" t="s">
        <v>177</v>
      </c>
      <c r="D32" s="186" t="s">
        <v>48</v>
      </c>
      <c r="E32" s="186">
        <v>0</v>
      </c>
      <c r="F32" s="31">
        <v>0</v>
      </c>
      <c r="G32" s="31">
        <v>10</v>
      </c>
      <c r="H32" s="32">
        <v>12000000</v>
      </c>
      <c r="I32" s="25">
        <f t="shared" ref="I32:I42" si="0">H32*G32</f>
        <v>120000000</v>
      </c>
      <c r="J32" s="181" t="s">
        <v>178</v>
      </c>
      <c r="K32" s="31" t="s">
        <v>179</v>
      </c>
    </row>
    <row r="33" spans="1:12" s="187" customFormat="1" ht="150.75" customHeight="1" x14ac:dyDescent="0.35">
      <c r="A33" s="15">
        <v>28</v>
      </c>
      <c r="B33" s="186" t="s">
        <v>125</v>
      </c>
      <c r="C33" s="24" t="s">
        <v>180</v>
      </c>
      <c r="D33" s="186" t="s">
        <v>48</v>
      </c>
      <c r="E33" s="186">
        <v>0</v>
      </c>
      <c r="F33" s="31">
        <v>0</v>
      </c>
      <c r="G33" s="31">
        <v>19</v>
      </c>
      <c r="H33" s="32">
        <v>10000000</v>
      </c>
      <c r="I33" s="25">
        <f t="shared" si="0"/>
        <v>190000000</v>
      </c>
      <c r="J33" s="181" t="s">
        <v>181</v>
      </c>
      <c r="K33" s="31" t="s">
        <v>179</v>
      </c>
    </row>
    <row r="34" spans="1:12" ht="124.5" customHeight="1" x14ac:dyDescent="0.3">
      <c r="A34" s="15">
        <v>29</v>
      </c>
      <c r="B34" s="24" t="s">
        <v>126</v>
      </c>
      <c r="C34" s="24" t="s">
        <v>182</v>
      </c>
      <c r="D34" s="186" t="s">
        <v>48</v>
      </c>
      <c r="E34" s="186">
        <v>0</v>
      </c>
      <c r="F34" s="31">
        <v>1</v>
      </c>
      <c r="G34" s="31">
        <v>10</v>
      </c>
      <c r="H34" s="32">
        <v>12000000</v>
      </c>
      <c r="I34" s="25">
        <f t="shared" si="0"/>
        <v>120000000</v>
      </c>
      <c r="J34" s="181" t="s">
        <v>183</v>
      </c>
      <c r="K34" s="31" t="s">
        <v>179</v>
      </c>
      <c r="L34" s="10"/>
    </row>
    <row r="35" spans="1:12" ht="210.75" customHeight="1" x14ac:dyDescent="0.3">
      <c r="A35" s="15">
        <v>30</v>
      </c>
      <c r="B35" s="186" t="s">
        <v>132</v>
      </c>
      <c r="C35" s="186"/>
      <c r="D35" s="186" t="s">
        <v>184</v>
      </c>
      <c r="E35" s="186">
        <v>0</v>
      </c>
      <c r="F35" s="31">
        <v>0</v>
      </c>
      <c r="G35" s="31">
        <v>1</v>
      </c>
      <c r="H35" s="32">
        <v>80000000</v>
      </c>
      <c r="I35" s="25">
        <f t="shared" si="0"/>
        <v>80000000</v>
      </c>
      <c r="J35" s="181" t="s">
        <v>185</v>
      </c>
      <c r="K35" s="31" t="s">
        <v>179</v>
      </c>
      <c r="L35" s="10"/>
    </row>
    <row r="36" spans="1:12" ht="33.75" customHeight="1" x14ac:dyDescent="0.3">
      <c r="A36" s="15">
        <v>31</v>
      </c>
      <c r="B36" s="24" t="s">
        <v>127</v>
      </c>
      <c r="C36" s="179" t="s">
        <v>186</v>
      </c>
      <c r="D36" s="181" t="s">
        <v>187</v>
      </c>
      <c r="E36" s="181">
        <v>0</v>
      </c>
      <c r="F36" s="31"/>
      <c r="G36" s="132">
        <v>1</v>
      </c>
      <c r="H36" s="134">
        <v>850000000</v>
      </c>
      <c r="I36" s="136">
        <f t="shared" si="0"/>
        <v>850000000</v>
      </c>
      <c r="J36" s="31" t="s">
        <v>188</v>
      </c>
      <c r="K36" s="20" t="s">
        <v>189</v>
      </c>
      <c r="L36" s="10"/>
    </row>
    <row r="37" spans="1:12" ht="33.75" customHeight="1" x14ac:dyDescent="0.3">
      <c r="A37" s="15">
        <v>32</v>
      </c>
      <c r="B37" s="24" t="s">
        <v>128</v>
      </c>
      <c r="C37" s="24" t="s">
        <v>190</v>
      </c>
      <c r="D37" s="31" t="s">
        <v>50</v>
      </c>
      <c r="E37" s="31">
        <v>0</v>
      </c>
      <c r="F37" s="31">
        <v>1</v>
      </c>
      <c r="G37" s="33">
        <v>1</v>
      </c>
      <c r="H37" s="32">
        <v>380000000</v>
      </c>
      <c r="I37" s="136">
        <f t="shared" si="0"/>
        <v>380000000</v>
      </c>
      <c r="J37" s="31" t="s">
        <v>191</v>
      </c>
      <c r="K37" s="20" t="s">
        <v>189</v>
      </c>
      <c r="L37" s="10"/>
    </row>
    <row r="38" spans="1:12" ht="60.75" customHeight="1" x14ac:dyDescent="0.3">
      <c r="A38" s="15">
        <v>33</v>
      </c>
      <c r="B38" s="131" t="s">
        <v>129</v>
      </c>
      <c r="C38" s="24"/>
      <c r="D38" s="31" t="s">
        <v>50</v>
      </c>
      <c r="E38" s="31">
        <v>1</v>
      </c>
      <c r="F38" s="31">
        <v>1</v>
      </c>
      <c r="G38" s="133">
        <v>2</v>
      </c>
      <c r="H38" s="135">
        <v>8000000</v>
      </c>
      <c r="I38" s="137">
        <f t="shared" si="0"/>
        <v>16000000</v>
      </c>
      <c r="J38" s="31" t="s">
        <v>192</v>
      </c>
      <c r="K38" s="20" t="s">
        <v>189</v>
      </c>
      <c r="L38" s="10"/>
    </row>
    <row r="39" spans="1:12" ht="228.75" customHeight="1" x14ac:dyDescent="0.3">
      <c r="A39" s="15">
        <v>34</v>
      </c>
      <c r="B39" s="131" t="s">
        <v>193</v>
      </c>
      <c r="C39" s="24" t="s">
        <v>194</v>
      </c>
      <c r="D39" s="188" t="s">
        <v>153</v>
      </c>
      <c r="E39" s="31"/>
      <c r="F39" s="31">
        <v>0</v>
      </c>
      <c r="G39" s="138">
        <v>10</v>
      </c>
      <c r="H39" s="137">
        <v>10000000</v>
      </c>
      <c r="I39" s="137">
        <f t="shared" si="0"/>
        <v>100000000</v>
      </c>
      <c r="J39" s="31" t="s">
        <v>195</v>
      </c>
      <c r="K39" s="20" t="s">
        <v>189</v>
      </c>
      <c r="L39" s="10"/>
    </row>
    <row r="40" spans="1:12" ht="242.25" customHeight="1" x14ac:dyDescent="0.3">
      <c r="A40" s="15">
        <v>35</v>
      </c>
      <c r="B40" s="131" t="s">
        <v>130</v>
      </c>
      <c r="C40" s="24" t="s">
        <v>196</v>
      </c>
      <c r="D40" s="188" t="s">
        <v>153</v>
      </c>
      <c r="E40" s="31"/>
      <c r="F40" s="31">
        <v>0</v>
      </c>
      <c r="G40" s="138">
        <v>4</v>
      </c>
      <c r="H40" s="137">
        <v>13000000</v>
      </c>
      <c r="I40" s="137">
        <f t="shared" si="0"/>
        <v>52000000</v>
      </c>
      <c r="J40" s="31" t="s">
        <v>195</v>
      </c>
      <c r="K40" s="20" t="s">
        <v>189</v>
      </c>
      <c r="L40" s="10"/>
    </row>
    <row r="41" spans="1:12" ht="54.75" customHeight="1" x14ac:dyDescent="0.3">
      <c r="A41" s="15">
        <v>36</v>
      </c>
      <c r="B41" s="34" t="s">
        <v>52</v>
      </c>
      <c r="C41" s="35"/>
      <c r="D41" s="35" t="s">
        <v>153</v>
      </c>
      <c r="E41" s="31">
        <v>0</v>
      </c>
      <c r="F41" s="31">
        <v>1</v>
      </c>
      <c r="G41" s="35">
        <v>1</v>
      </c>
      <c r="H41" s="36">
        <v>10000000</v>
      </c>
      <c r="I41" s="137">
        <f t="shared" si="0"/>
        <v>10000000</v>
      </c>
      <c r="J41" s="189" t="s">
        <v>91</v>
      </c>
      <c r="K41" s="20" t="s">
        <v>53</v>
      </c>
      <c r="L41" s="10"/>
    </row>
    <row r="42" spans="1:12" ht="338.25" customHeight="1" x14ac:dyDescent="0.3">
      <c r="A42" s="15">
        <v>37</v>
      </c>
      <c r="B42" s="190" t="s">
        <v>197</v>
      </c>
      <c r="C42" s="191" t="s">
        <v>198</v>
      </c>
      <c r="D42" s="35" t="s">
        <v>50</v>
      </c>
      <c r="E42" s="31"/>
      <c r="F42" s="31">
        <v>4</v>
      </c>
      <c r="G42" s="188">
        <v>10</v>
      </c>
      <c r="H42" s="137">
        <v>12000000</v>
      </c>
      <c r="I42" s="137">
        <f t="shared" si="0"/>
        <v>120000000</v>
      </c>
      <c r="J42" s="189" t="s">
        <v>199</v>
      </c>
      <c r="K42" s="20" t="s">
        <v>53</v>
      </c>
      <c r="L42" s="10"/>
    </row>
    <row r="43" spans="1:12" ht="114" customHeight="1" x14ac:dyDescent="0.3">
      <c r="A43" s="15">
        <v>38</v>
      </c>
      <c r="B43" s="24" t="s">
        <v>157</v>
      </c>
      <c r="C43" s="24" t="s">
        <v>200</v>
      </c>
      <c r="D43" s="31" t="s">
        <v>153</v>
      </c>
      <c r="E43" s="31"/>
      <c r="F43" s="31"/>
      <c r="G43" s="33">
        <v>50</v>
      </c>
      <c r="H43" s="32">
        <v>25000000</v>
      </c>
      <c r="I43" s="32">
        <f>G43*H43</f>
        <v>1250000000</v>
      </c>
      <c r="J43" s="181" t="s">
        <v>201</v>
      </c>
      <c r="K43" s="20" t="s">
        <v>53</v>
      </c>
      <c r="L43" s="10"/>
    </row>
    <row r="44" spans="1:12" ht="54" customHeight="1" x14ac:dyDescent="0.3">
      <c r="A44" s="15">
        <v>39</v>
      </c>
      <c r="B44" s="24" t="s">
        <v>202</v>
      </c>
      <c r="C44" s="24"/>
      <c r="D44" s="31" t="s">
        <v>153</v>
      </c>
      <c r="E44" s="31">
        <v>0</v>
      </c>
      <c r="F44" s="31"/>
      <c r="G44" s="33">
        <v>6</v>
      </c>
      <c r="H44" s="32">
        <v>40000000</v>
      </c>
      <c r="I44" s="32">
        <f>G44*H44</f>
        <v>240000000</v>
      </c>
      <c r="J44" s="181" t="s">
        <v>203</v>
      </c>
      <c r="K44" s="20" t="s">
        <v>53</v>
      </c>
      <c r="L44" s="10"/>
    </row>
    <row r="45" spans="1:12" ht="115.5" customHeight="1" x14ac:dyDescent="0.3">
      <c r="A45" s="15">
        <v>40</v>
      </c>
      <c r="B45" s="24" t="s">
        <v>94</v>
      </c>
      <c r="C45" s="24"/>
      <c r="D45" s="31" t="s">
        <v>153</v>
      </c>
      <c r="E45" s="31">
        <v>0</v>
      </c>
      <c r="F45" s="31"/>
      <c r="G45" s="33">
        <v>40</v>
      </c>
      <c r="H45" s="32">
        <v>45000000</v>
      </c>
      <c r="I45" s="32">
        <f>G45*H45</f>
        <v>1800000000</v>
      </c>
      <c r="J45" s="181" t="s">
        <v>95</v>
      </c>
      <c r="K45" s="20" t="s">
        <v>39</v>
      </c>
      <c r="L45" s="10"/>
    </row>
    <row r="46" spans="1:12" ht="36.75" customHeight="1" x14ac:dyDescent="0.3">
      <c r="A46" s="15">
        <v>41</v>
      </c>
      <c r="B46" s="24" t="s">
        <v>204</v>
      </c>
      <c r="C46" s="24"/>
      <c r="D46" s="31" t="s">
        <v>151</v>
      </c>
      <c r="E46" s="31"/>
      <c r="F46" s="31"/>
      <c r="G46" s="33">
        <v>1</v>
      </c>
      <c r="H46" s="32"/>
      <c r="I46" s="32">
        <v>2050000000</v>
      </c>
      <c r="J46" s="181"/>
      <c r="K46" s="20" t="s">
        <v>205</v>
      </c>
      <c r="L46" s="10"/>
    </row>
    <row r="47" spans="1:12" ht="42" customHeight="1" x14ac:dyDescent="0.3">
      <c r="A47" s="15">
        <v>42</v>
      </c>
      <c r="B47" s="24" t="s">
        <v>110</v>
      </c>
      <c r="C47" s="24"/>
      <c r="D47" s="31" t="s">
        <v>48</v>
      </c>
      <c r="E47" s="31"/>
      <c r="F47" s="31"/>
      <c r="G47" s="33">
        <v>6</v>
      </c>
      <c r="H47" s="32">
        <v>60000000</v>
      </c>
      <c r="I47" s="32">
        <v>360000000</v>
      </c>
      <c r="J47" s="181"/>
      <c r="K47" s="20"/>
      <c r="L47" s="10"/>
    </row>
    <row r="48" spans="1:12" ht="41.25" customHeight="1" x14ac:dyDescent="0.3">
      <c r="A48" s="15">
        <v>43</v>
      </c>
      <c r="B48" s="24" t="s">
        <v>37</v>
      </c>
      <c r="C48" s="24"/>
      <c r="D48" s="31"/>
      <c r="E48" s="31"/>
      <c r="F48" s="31"/>
      <c r="G48" s="33">
        <v>1</v>
      </c>
      <c r="H48" s="32"/>
      <c r="I48" s="32">
        <v>10000000</v>
      </c>
      <c r="J48" s="181"/>
      <c r="K48" s="20" t="s">
        <v>46</v>
      </c>
      <c r="L48" s="10"/>
    </row>
    <row r="49" spans="1:12" ht="26.25" customHeight="1" x14ac:dyDescent="0.3">
      <c r="A49" s="15"/>
      <c r="B49" s="726" t="s">
        <v>54</v>
      </c>
      <c r="C49" s="726"/>
      <c r="D49" s="150"/>
      <c r="E49" s="150"/>
      <c r="F49" s="150"/>
      <c r="G49" s="150"/>
      <c r="H49" s="28"/>
      <c r="I49" s="37">
        <f>SUM(I7:I48)</f>
        <v>23173000000</v>
      </c>
      <c r="J49" s="16"/>
      <c r="K49" s="150"/>
      <c r="L49" s="10"/>
    </row>
  </sheetData>
  <mergeCells count="12">
    <mergeCell ref="E5:F5"/>
    <mergeCell ref="B49:C49"/>
    <mergeCell ref="A1:K2"/>
    <mergeCell ref="I3:K3"/>
    <mergeCell ref="A4:A5"/>
    <mergeCell ref="B4:B5"/>
    <mergeCell ref="C4:C5"/>
    <mergeCell ref="D4:D5"/>
    <mergeCell ref="E4:G4"/>
    <mergeCell ref="H4:I4"/>
    <mergeCell ref="J4:J5"/>
    <mergeCell ref="K4:K5"/>
  </mergeCells>
  <pageMargins left="0" right="0" top="0.5" bottom="0.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39"/>
  <sheetViews>
    <sheetView topLeftCell="A31" workbookViewId="0">
      <selection activeCell="F8" sqref="F8"/>
    </sheetView>
  </sheetViews>
  <sheetFormatPr defaultColWidth="9.08984375" defaultRowHeight="15.5" x14ac:dyDescent="0.35"/>
  <cols>
    <col min="1" max="1" width="4.90625" style="8" customWidth="1"/>
    <col min="2" max="2" width="31.453125" style="1" customWidth="1"/>
    <col min="3" max="3" width="17.08984375" style="9" customWidth="1"/>
    <col min="4" max="4" width="14.453125" style="9" customWidth="1"/>
    <col min="5" max="5" width="10.453125" style="9" customWidth="1"/>
    <col min="6" max="6" width="13.36328125" style="1" customWidth="1"/>
    <col min="7" max="7" width="10.08984375" style="1" customWidth="1"/>
    <col min="8" max="8" width="12.36328125" style="1" customWidth="1"/>
    <col min="9" max="9" width="10.90625" style="1" customWidth="1"/>
    <col min="10" max="10" width="10.54296875" style="1" customWidth="1"/>
    <col min="11" max="16384" width="9.08984375" style="1"/>
  </cols>
  <sheetData>
    <row r="1" spans="1:10" ht="32" customHeight="1" x14ac:dyDescent="0.35">
      <c r="A1" s="747" t="s">
        <v>556</v>
      </c>
      <c r="B1" s="748"/>
      <c r="C1" s="748"/>
      <c r="D1" s="748"/>
      <c r="E1" s="748"/>
      <c r="F1" s="748"/>
      <c r="G1" s="748"/>
      <c r="H1" s="748"/>
      <c r="I1" s="748"/>
      <c r="J1" s="748"/>
    </row>
    <row r="2" spans="1:10" ht="51.65" customHeight="1" x14ac:dyDescent="0.35">
      <c r="A2" s="5" t="s">
        <v>2</v>
      </c>
      <c r="B2" s="5" t="s">
        <v>3</v>
      </c>
      <c r="C2" s="5" t="s">
        <v>206</v>
      </c>
      <c r="D2" s="7" t="s">
        <v>73</v>
      </c>
      <c r="E2" s="6" t="s">
        <v>4</v>
      </c>
      <c r="F2" s="7" t="s">
        <v>5</v>
      </c>
      <c r="G2" s="7" t="s">
        <v>74</v>
      </c>
      <c r="H2" s="7" t="s">
        <v>6</v>
      </c>
      <c r="I2" s="7" t="s">
        <v>75</v>
      </c>
      <c r="J2" s="7" t="s">
        <v>7</v>
      </c>
    </row>
    <row r="3" spans="1:10" s="421" customFormat="1" ht="18" customHeight="1" x14ac:dyDescent="0.35">
      <c r="A3" s="418"/>
      <c r="B3" s="418" t="s">
        <v>76</v>
      </c>
      <c r="C3" s="418"/>
      <c r="D3" s="418"/>
      <c r="E3" s="418"/>
      <c r="F3" s="419"/>
      <c r="G3" s="420"/>
      <c r="H3" s="420"/>
      <c r="I3" s="420">
        <f>SUM(I4:I39)</f>
        <v>36482.360153000001</v>
      </c>
      <c r="J3" s="420">
        <f>SUM(J4:J39)</f>
        <v>14407.5</v>
      </c>
    </row>
    <row r="4" spans="1:10" s="62" customFormat="1" ht="17.25" customHeight="1" x14ac:dyDescent="0.35">
      <c r="A4" s="63" t="s">
        <v>8</v>
      </c>
      <c r="B4" s="64" t="s">
        <v>77</v>
      </c>
      <c r="C4" s="63"/>
      <c r="D4" s="63"/>
      <c r="E4" s="63"/>
      <c r="F4" s="65"/>
      <c r="G4" s="65"/>
      <c r="H4" s="65"/>
      <c r="I4" s="65"/>
      <c r="J4" s="192"/>
    </row>
    <row r="5" spans="1:10" x14ac:dyDescent="0.35">
      <c r="A5" s="69">
        <v>1</v>
      </c>
      <c r="B5" s="70" t="s">
        <v>207</v>
      </c>
      <c r="C5" s="66" t="s">
        <v>208</v>
      </c>
      <c r="D5" s="193" t="s">
        <v>209</v>
      </c>
      <c r="E5" s="194" t="s">
        <v>210</v>
      </c>
      <c r="F5" s="195">
        <v>87797</v>
      </c>
      <c r="G5" s="67">
        <v>77000</v>
      </c>
      <c r="H5" s="196">
        <v>60794.1</v>
      </c>
      <c r="I5" s="197">
        <f>G5-H5</f>
        <v>16205.900000000001</v>
      </c>
      <c r="J5" s="197">
        <v>5000</v>
      </c>
    </row>
    <row r="6" spans="1:10" x14ac:dyDescent="0.35">
      <c r="A6" s="63" t="s">
        <v>81</v>
      </c>
      <c r="B6" s="64" t="s">
        <v>82</v>
      </c>
      <c r="C6" s="198"/>
      <c r="D6" s="199"/>
      <c r="E6" s="200"/>
      <c r="F6" s="201"/>
      <c r="G6" s="202"/>
      <c r="H6" s="203"/>
      <c r="I6" s="197"/>
      <c r="J6" s="197"/>
    </row>
    <row r="7" spans="1:10" x14ac:dyDescent="0.35">
      <c r="A7" s="69">
        <v>1</v>
      </c>
      <c r="B7" s="70" t="s">
        <v>211</v>
      </c>
      <c r="C7" s="66" t="s">
        <v>212</v>
      </c>
      <c r="D7" s="193" t="s">
        <v>213</v>
      </c>
      <c r="E7" s="194" t="s">
        <v>214</v>
      </c>
      <c r="F7" s="195">
        <v>14948</v>
      </c>
      <c r="G7" s="204">
        <v>13224</v>
      </c>
      <c r="H7" s="196">
        <v>9335.2999999999993</v>
      </c>
      <c r="I7" s="197">
        <f t="shared" ref="I7:I33" si="0">G7-H7</f>
        <v>3888.7000000000007</v>
      </c>
      <c r="J7" s="197">
        <v>700</v>
      </c>
    </row>
    <row r="8" spans="1:10" ht="28.5" x14ac:dyDescent="0.35">
      <c r="A8" s="69">
        <v>2</v>
      </c>
      <c r="B8" s="70" t="s">
        <v>215</v>
      </c>
      <c r="C8" s="66" t="s">
        <v>216</v>
      </c>
      <c r="D8" s="69" t="s">
        <v>217</v>
      </c>
      <c r="E8" s="200">
        <v>2017</v>
      </c>
      <c r="F8" s="195">
        <v>137173</v>
      </c>
      <c r="G8" s="205">
        <v>18734</v>
      </c>
      <c r="H8" s="196">
        <v>15278</v>
      </c>
      <c r="I8" s="197">
        <f t="shared" si="0"/>
        <v>3456</v>
      </c>
      <c r="J8" s="197">
        <v>500</v>
      </c>
    </row>
    <row r="9" spans="1:10" x14ac:dyDescent="0.35">
      <c r="A9" s="69">
        <v>3</v>
      </c>
      <c r="B9" s="70" t="s">
        <v>218</v>
      </c>
      <c r="C9" s="66" t="s">
        <v>219</v>
      </c>
      <c r="D9" s="193" t="s">
        <v>220</v>
      </c>
      <c r="E9" s="194" t="s">
        <v>221</v>
      </c>
      <c r="F9" s="195">
        <v>3765</v>
      </c>
      <c r="G9" s="205">
        <v>3204</v>
      </c>
      <c r="H9" s="196">
        <v>3089</v>
      </c>
      <c r="I9" s="197">
        <f t="shared" si="0"/>
        <v>115</v>
      </c>
      <c r="J9" s="197">
        <v>48</v>
      </c>
    </row>
    <row r="10" spans="1:10" x14ac:dyDescent="0.35">
      <c r="A10" s="69">
        <v>4</v>
      </c>
      <c r="B10" s="70" t="s">
        <v>222</v>
      </c>
      <c r="C10" s="66" t="s">
        <v>223</v>
      </c>
      <c r="D10" s="193" t="s">
        <v>224</v>
      </c>
      <c r="E10" s="194" t="s">
        <v>221</v>
      </c>
      <c r="F10" s="195">
        <v>4168</v>
      </c>
      <c r="G10" s="205">
        <v>4569</v>
      </c>
      <c r="H10" s="196">
        <v>4132</v>
      </c>
      <c r="I10" s="197">
        <f t="shared" si="0"/>
        <v>437</v>
      </c>
      <c r="J10" s="197">
        <v>473</v>
      </c>
    </row>
    <row r="11" spans="1:10" x14ac:dyDescent="0.35">
      <c r="A11" s="69">
        <v>5</v>
      </c>
      <c r="B11" s="70" t="s">
        <v>225</v>
      </c>
      <c r="C11" s="66" t="s">
        <v>226</v>
      </c>
      <c r="D11" s="69" t="s">
        <v>227</v>
      </c>
      <c r="E11" s="200">
        <v>2017</v>
      </c>
      <c r="F11" s="195">
        <v>1079</v>
      </c>
      <c r="G11" s="205">
        <v>1100</v>
      </c>
      <c r="H11" s="196">
        <v>1054</v>
      </c>
      <c r="I11" s="197">
        <f t="shared" si="0"/>
        <v>46</v>
      </c>
      <c r="J11" s="197">
        <f>I11</f>
        <v>46</v>
      </c>
    </row>
    <row r="12" spans="1:10" x14ac:dyDescent="0.35">
      <c r="A12" s="69">
        <v>6</v>
      </c>
      <c r="B12" s="70" t="s">
        <v>228</v>
      </c>
      <c r="C12" s="66" t="s">
        <v>229</v>
      </c>
      <c r="D12" s="193" t="s">
        <v>230</v>
      </c>
      <c r="E12" s="194" t="s">
        <v>221</v>
      </c>
      <c r="F12" s="195">
        <v>5883.8</v>
      </c>
      <c r="G12" s="205">
        <v>5674</v>
      </c>
      <c r="H12" s="196">
        <v>5576.7</v>
      </c>
      <c r="I12" s="197">
        <f t="shared" si="0"/>
        <v>97.300000000000182</v>
      </c>
      <c r="J12" s="197">
        <v>4</v>
      </c>
    </row>
    <row r="13" spans="1:10" x14ac:dyDescent="0.35">
      <c r="A13" s="69">
        <v>7</v>
      </c>
      <c r="B13" s="70" t="s">
        <v>231</v>
      </c>
      <c r="C13" s="66" t="s">
        <v>232</v>
      </c>
      <c r="D13" s="193" t="s">
        <v>233</v>
      </c>
      <c r="E13" s="194" t="s">
        <v>234</v>
      </c>
      <c r="F13" s="195">
        <v>5532</v>
      </c>
      <c r="G13" s="205">
        <v>3859</v>
      </c>
      <c r="H13" s="196">
        <v>2333.4699999999998</v>
      </c>
      <c r="I13" s="197">
        <f t="shared" si="0"/>
        <v>1525.5300000000002</v>
      </c>
      <c r="J13" s="197">
        <v>500</v>
      </c>
    </row>
    <row r="14" spans="1:10" x14ac:dyDescent="0.35">
      <c r="A14" s="69">
        <v>8</v>
      </c>
      <c r="B14" s="70" t="s">
        <v>235</v>
      </c>
      <c r="C14" s="66" t="s">
        <v>236</v>
      </c>
      <c r="D14" s="69" t="s">
        <v>237</v>
      </c>
      <c r="E14" s="200">
        <v>2017</v>
      </c>
      <c r="F14" s="195">
        <v>1169</v>
      </c>
      <c r="G14" s="205">
        <v>963</v>
      </c>
      <c r="H14" s="196">
        <v>913.5</v>
      </c>
      <c r="I14" s="197">
        <f t="shared" si="0"/>
        <v>49.5</v>
      </c>
      <c r="J14" s="197">
        <v>50</v>
      </c>
    </row>
    <row r="15" spans="1:10" x14ac:dyDescent="0.35">
      <c r="A15" s="69">
        <v>9</v>
      </c>
      <c r="B15" s="70" t="s">
        <v>238</v>
      </c>
      <c r="C15" s="66" t="s">
        <v>239</v>
      </c>
      <c r="D15" s="69" t="s">
        <v>240</v>
      </c>
      <c r="E15" s="200">
        <v>2017</v>
      </c>
      <c r="F15" s="195">
        <v>1913</v>
      </c>
      <c r="G15" s="205">
        <v>1583</v>
      </c>
      <c r="H15" s="196">
        <v>1546.9</v>
      </c>
      <c r="I15" s="197">
        <f t="shared" si="0"/>
        <v>36.099999999999909</v>
      </c>
      <c r="J15" s="197">
        <f>I15</f>
        <v>36.099999999999909</v>
      </c>
    </row>
    <row r="16" spans="1:10" x14ac:dyDescent="0.35">
      <c r="A16" s="69">
        <v>10</v>
      </c>
      <c r="B16" s="70" t="s">
        <v>241</v>
      </c>
      <c r="C16" s="69" t="s">
        <v>242</v>
      </c>
      <c r="D16" s="69" t="s">
        <v>243</v>
      </c>
      <c r="E16" s="200">
        <v>2018</v>
      </c>
      <c r="F16" s="195">
        <v>2139</v>
      </c>
      <c r="G16" s="205">
        <v>1645</v>
      </c>
      <c r="H16" s="196">
        <v>1310.5</v>
      </c>
      <c r="I16" s="197">
        <f t="shared" si="0"/>
        <v>334.5</v>
      </c>
      <c r="J16" s="197">
        <v>100</v>
      </c>
    </row>
    <row r="17" spans="1:10" ht="28" x14ac:dyDescent="0.35">
      <c r="A17" s="69">
        <v>11</v>
      </c>
      <c r="B17" s="70" t="s">
        <v>244</v>
      </c>
      <c r="C17" s="69" t="s">
        <v>245</v>
      </c>
      <c r="D17" s="69" t="s">
        <v>246</v>
      </c>
      <c r="E17" s="200">
        <v>2019</v>
      </c>
      <c r="F17" s="195">
        <v>2058</v>
      </c>
      <c r="G17" s="205">
        <v>838</v>
      </c>
      <c r="H17" s="196">
        <v>381.5</v>
      </c>
      <c r="I17" s="197">
        <f t="shared" si="0"/>
        <v>456.5</v>
      </c>
      <c r="J17" s="197">
        <v>200</v>
      </c>
    </row>
    <row r="18" spans="1:10" ht="28" x14ac:dyDescent="0.35">
      <c r="A18" s="69">
        <v>12</v>
      </c>
      <c r="B18" s="70" t="s">
        <v>247</v>
      </c>
      <c r="C18" s="66" t="s">
        <v>248</v>
      </c>
      <c r="D18" s="69" t="s">
        <v>249</v>
      </c>
      <c r="E18" s="200">
        <v>2019</v>
      </c>
      <c r="F18" s="195">
        <v>6851</v>
      </c>
      <c r="G18" s="205">
        <v>5225</v>
      </c>
      <c r="H18" s="196">
        <v>4275.0910000000003</v>
      </c>
      <c r="I18" s="197">
        <f t="shared" si="0"/>
        <v>949.90899999999965</v>
      </c>
      <c r="J18" s="197">
        <v>500</v>
      </c>
    </row>
    <row r="19" spans="1:10" x14ac:dyDescent="0.35">
      <c r="A19" s="69">
        <v>13</v>
      </c>
      <c r="B19" s="70" t="s">
        <v>250</v>
      </c>
      <c r="C19" s="66" t="s">
        <v>251</v>
      </c>
      <c r="D19" s="69" t="s">
        <v>252</v>
      </c>
      <c r="E19" s="200">
        <v>2019</v>
      </c>
      <c r="F19" s="195">
        <v>9299</v>
      </c>
      <c r="G19" s="205">
        <v>3520</v>
      </c>
      <c r="H19" s="196">
        <v>2660</v>
      </c>
      <c r="I19" s="197">
        <f t="shared" si="0"/>
        <v>860</v>
      </c>
      <c r="J19" s="197">
        <v>700</v>
      </c>
    </row>
    <row r="20" spans="1:10" ht="28.5" x14ac:dyDescent="0.35">
      <c r="A20" s="69">
        <v>14</v>
      </c>
      <c r="B20" s="206" t="s">
        <v>253</v>
      </c>
      <c r="C20" s="69" t="s">
        <v>254</v>
      </c>
      <c r="D20" s="69" t="s">
        <v>255</v>
      </c>
      <c r="E20" s="200">
        <v>2019</v>
      </c>
      <c r="F20" s="195">
        <v>592</v>
      </c>
      <c r="G20" s="205">
        <v>529.89712099999997</v>
      </c>
      <c r="H20" s="196">
        <v>476.9</v>
      </c>
      <c r="I20" s="197">
        <f t="shared" si="0"/>
        <v>52.997120999999993</v>
      </c>
      <c r="J20" s="197">
        <v>53</v>
      </c>
    </row>
    <row r="21" spans="1:10" x14ac:dyDescent="0.35">
      <c r="A21" s="69">
        <v>15</v>
      </c>
      <c r="B21" s="70" t="s">
        <v>256</v>
      </c>
      <c r="C21" s="66" t="s">
        <v>257</v>
      </c>
      <c r="D21" s="69" t="s">
        <v>258</v>
      </c>
      <c r="E21" s="200">
        <v>2018</v>
      </c>
      <c r="F21" s="195">
        <v>1266</v>
      </c>
      <c r="G21" s="205">
        <v>553</v>
      </c>
      <c r="H21" s="196">
        <v>460.8</v>
      </c>
      <c r="I21" s="197">
        <f t="shared" si="0"/>
        <v>92.199999999999989</v>
      </c>
      <c r="J21" s="197">
        <v>92</v>
      </c>
    </row>
    <row r="22" spans="1:10" ht="28" x14ac:dyDescent="0.35">
      <c r="A22" s="69">
        <v>16</v>
      </c>
      <c r="B22" s="70" t="s">
        <v>259</v>
      </c>
      <c r="C22" s="66" t="s">
        <v>260</v>
      </c>
      <c r="D22" s="69" t="s">
        <v>261</v>
      </c>
      <c r="E22" s="200">
        <v>2018</v>
      </c>
      <c r="F22" s="195">
        <v>926.33900000000006</v>
      </c>
      <c r="G22" s="205">
        <v>800</v>
      </c>
      <c r="H22" s="196">
        <v>659.5</v>
      </c>
      <c r="I22" s="197">
        <f t="shared" si="0"/>
        <v>140.5</v>
      </c>
      <c r="J22" s="197">
        <f>I22</f>
        <v>140.5</v>
      </c>
    </row>
    <row r="23" spans="1:10" x14ac:dyDescent="0.35">
      <c r="A23" s="69">
        <v>17</v>
      </c>
      <c r="B23" s="70" t="s">
        <v>262</v>
      </c>
      <c r="C23" s="66" t="s">
        <v>263</v>
      </c>
      <c r="D23" s="69" t="s">
        <v>264</v>
      </c>
      <c r="E23" s="200">
        <v>2018</v>
      </c>
      <c r="F23" s="195">
        <v>13199</v>
      </c>
      <c r="G23" s="205">
        <v>11844</v>
      </c>
      <c r="H23" s="196">
        <v>10647.1</v>
      </c>
      <c r="I23" s="197">
        <f t="shared" si="0"/>
        <v>1196.8999999999996</v>
      </c>
      <c r="J23" s="197">
        <v>500</v>
      </c>
    </row>
    <row r="24" spans="1:10" x14ac:dyDescent="0.35">
      <c r="A24" s="69">
        <v>18</v>
      </c>
      <c r="B24" s="70" t="s">
        <v>265</v>
      </c>
      <c r="C24" s="66" t="s">
        <v>266</v>
      </c>
      <c r="D24" s="69" t="s">
        <v>267</v>
      </c>
      <c r="E24" s="200">
        <v>2018</v>
      </c>
      <c r="F24" s="195">
        <v>1098</v>
      </c>
      <c r="G24" s="205">
        <v>946</v>
      </c>
      <c r="H24" s="196">
        <v>882.4</v>
      </c>
      <c r="I24" s="197">
        <f t="shared" si="0"/>
        <v>63.600000000000023</v>
      </c>
      <c r="J24" s="197">
        <f>I24</f>
        <v>63.600000000000023</v>
      </c>
    </row>
    <row r="25" spans="1:10" x14ac:dyDescent="0.35">
      <c r="A25" s="69">
        <v>19</v>
      </c>
      <c r="B25" s="70" t="s">
        <v>268</v>
      </c>
      <c r="C25" s="69" t="s">
        <v>269</v>
      </c>
      <c r="D25" s="69" t="s">
        <v>270</v>
      </c>
      <c r="E25" s="69">
        <v>2019</v>
      </c>
      <c r="F25" s="195">
        <v>787.5</v>
      </c>
      <c r="G25" s="205">
        <v>710</v>
      </c>
      <c r="H25" s="196">
        <v>510</v>
      </c>
      <c r="I25" s="197">
        <f t="shared" si="0"/>
        <v>200</v>
      </c>
      <c r="J25" s="197">
        <v>244</v>
      </c>
    </row>
    <row r="26" spans="1:10" x14ac:dyDescent="0.35">
      <c r="A26" s="69">
        <v>20</v>
      </c>
      <c r="B26" s="70" t="s">
        <v>271</v>
      </c>
      <c r="C26" s="66" t="s">
        <v>272</v>
      </c>
      <c r="D26" s="69" t="s">
        <v>273</v>
      </c>
      <c r="E26" s="200">
        <v>2019</v>
      </c>
      <c r="F26" s="195">
        <v>8332.9</v>
      </c>
      <c r="G26" s="205">
        <f>+F26</f>
        <v>8332.9</v>
      </c>
      <c r="H26" s="196">
        <v>6747</v>
      </c>
      <c r="I26" s="197">
        <f t="shared" si="0"/>
        <v>1585.8999999999996</v>
      </c>
      <c r="J26" s="197">
        <v>500</v>
      </c>
    </row>
    <row r="27" spans="1:10" ht="56" x14ac:dyDescent="0.35">
      <c r="A27" s="69">
        <v>21</v>
      </c>
      <c r="B27" s="70" t="s">
        <v>274</v>
      </c>
      <c r="C27" s="69" t="s">
        <v>275</v>
      </c>
      <c r="D27" s="69" t="s">
        <v>276</v>
      </c>
      <c r="E27" s="69">
        <v>2018</v>
      </c>
      <c r="F27" s="195">
        <v>1068</v>
      </c>
      <c r="G27" s="205">
        <v>899.17082300000004</v>
      </c>
      <c r="H27" s="196">
        <v>593.9</v>
      </c>
      <c r="I27" s="197">
        <f t="shared" si="0"/>
        <v>305.27082300000006</v>
      </c>
      <c r="J27" s="197">
        <v>197</v>
      </c>
    </row>
    <row r="28" spans="1:10" s="73" customFormat="1" x14ac:dyDescent="0.35">
      <c r="A28" s="207">
        <v>22</v>
      </c>
      <c r="B28" s="208" t="s">
        <v>277</v>
      </c>
      <c r="C28" s="209" t="s">
        <v>278</v>
      </c>
      <c r="D28" s="207" t="s">
        <v>279</v>
      </c>
      <c r="E28" s="210">
        <v>2019</v>
      </c>
      <c r="F28" s="211">
        <v>6229</v>
      </c>
      <c r="G28" s="71">
        <v>5470</v>
      </c>
      <c r="H28" s="212">
        <v>4899</v>
      </c>
      <c r="I28" s="213">
        <f t="shared" si="0"/>
        <v>571</v>
      </c>
      <c r="J28" s="197">
        <f>+I28</f>
        <v>571</v>
      </c>
    </row>
    <row r="29" spans="1:10" ht="28" x14ac:dyDescent="0.35">
      <c r="A29" s="69">
        <v>23</v>
      </c>
      <c r="B29" s="70" t="s">
        <v>280</v>
      </c>
      <c r="C29" s="66" t="s">
        <v>281</v>
      </c>
      <c r="D29" s="214" t="s">
        <v>282</v>
      </c>
      <c r="E29" s="200">
        <v>2019</v>
      </c>
      <c r="F29" s="195">
        <v>7215</v>
      </c>
      <c r="G29" s="205">
        <v>6399</v>
      </c>
      <c r="H29" s="196">
        <v>5582</v>
      </c>
      <c r="I29" s="197">
        <f t="shared" si="0"/>
        <v>817</v>
      </c>
      <c r="J29" s="197">
        <v>500</v>
      </c>
    </row>
    <row r="30" spans="1:10" ht="28" x14ac:dyDescent="0.35">
      <c r="A30" s="69">
        <v>24</v>
      </c>
      <c r="B30" s="70" t="s">
        <v>283</v>
      </c>
      <c r="C30" s="66" t="s">
        <v>284</v>
      </c>
      <c r="D30" s="69" t="s">
        <v>285</v>
      </c>
      <c r="E30" s="200">
        <v>2019</v>
      </c>
      <c r="F30" s="195">
        <v>1116.768345</v>
      </c>
      <c r="G30" s="205">
        <v>874.857392</v>
      </c>
      <c r="H30" s="196">
        <v>434.9</v>
      </c>
      <c r="I30" s="197">
        <f t="shared" si="0"/>
        <v>439.95739200000003</v>
      </c>
      <c r="J30" s="197">
        <v>440</v>
      </c>
    </row>
    <row r="31" spans="1:10" s="73" customFormat="1" ht="56" x14ac:dyDescent="0.35">
      <c r="A31" s="207">
        <v>25</v>
      </c>
      <c r="B31" s="208" t="s">
        <v>286</v>
      </c>
      <c r="C31" s="207" t="s">
        <v>287</v>
      </c>
      <c r="D31" s="207" t="s">
        <v>288</v>
      </c>
      <c r="E31" s="207">
        <v>2019</v>
      </c>
      <c r="F31" s="211">
        <v>5245.9</v>
      </c>
      <c r="G31" s="71">
        <v>3850.75</v>
      </c>
      <c r="H31" s="212">
        <v>3141.54</v>
      </c>
      <c r="I31" s="213">
        <f t="shared" si="0"/>
        <v>709.21</v>
      </c>
      <c r="J31" s="197">
        <v>400</v>
      </c>
    </row>
    <row r="32" spans="1:10" ht="28" x14ac:dyDescent="0.35">
      <c r="A32" s="69">
        <v>26</v>
      </c>
      <c r="B32" s="70" t="s">
        <v>289</v>
      </c>
      <c r="C32" s="69" t="s">
        <v>290</v>
      </c>
      <c r="D32" s="69" t="s">
        <v>291</v>
      </c>
      <c r="E32" s="69">
        <v>2018</v>
      </c>
      <c r="F32" s="195">
        <v>2762</v>
      </c>
      <c r="G32" s="205">
        <v>2699</v>
      </c>
      <c r="H32" s="196">
        <v>2176.6999999999998</v>
      </c>
      <c r="I32" s="197">
        <f t="shared" si="0"/>
        <v>522.30000000000018</v>
      </c>
      <c r="J32" s="197">
        <v>522</v>
      </c>
    </row>
    <row r="33" spans="1:10" ht="42.5" x14ac:dyDescent="0.35">
      <c r="A33" s="69">
        <v>27</v>
      </c>
      <c r="B33" s="215" t="s">
        <v>292</v>
      </c>
      <c r="C33" s="69" t="s">
        <v>293</v>
      </c>
      <c r="D33" s="69" t="s">
        <v>294</v>
      </c>
      <c r="E33" s="69">
        <v>2018</v>
      </c>
      <c r="F33" s="195">
        <v>284.75655</v>
      </c>
      <c r="G33" s="205">
        <v>228.89718099999999</v>
      </c>
      <c r="H33" s="196">
        <v>183.1</v>
      </c>
      <c r="I33" s="197">
        <f t="shared" si="0"/>
        <v>45.797180999999995</v>
      </c>
      <c r="J33" s="197">
        <v>46</v>
      </c>
    </row>
    <row r="34" spans="1:10" s="73" customFormat="1" ht="28" x14ac:dyDescent="0.35">
      <c r="A34" s="207">
        <v>28</v>
      </c>
      <c r="B34" s="208" t="s">
        <v>295</v>
      </c>
      <c r="C34" s="207" t="s">
        <v>296</v>
      </c>
      <c r="D34" s="207" t="s">
        <v>297</v>
      </c>
      <c r="E34" s="207">
        <v>2019</v>
      </c>
      <c r="F34" s="211">
        <v>347</v>
      </c>
      <c r="G34" s="216">
        <v>383</v>
      </c>
      <c r="H34" s="212">
        <f>+G34*0.9</f>
        <v>344.7</v>
      </c>
      <c r="I34" s="213">
        <f>+G34-H34</f>
        <v>38.300000000000011</v>
      </c>
      <c r="J34" s="197">
        <f>+I34</f>
        <v>38.300000000000011</v>
      </c>
    </row>
    <row r="35" spans="1:10" ht="28" x14ac:dyDescent="0.35">
      <c r="A35" s="69">
        <v>29</v>
      </c>
      <c r="B35" s="70" t="s">
        <v>298</v>
      </c>
      <c r="C35" s="69" t="s">
        <v>299</v>
      </c>
      <c r="D35" s="69" t="s">
        <v>300</v>
      </c>
      <c r="E35" s="69">
        <v>2019</v>
      </c>
      <c r="F35" s="195">
        <v>1539</v>
      </c>
      <c r="G35" s="205">
        <v>1061</v>
      </c>
      <c r="H35" s="196">
        <v>846.6</v>
      </c>
      <c r="I35" s="197">
        <f>G35-H35</f>
        <v>214.39999999999998</v>
      </c>
      <c r="J35" s="197">
        <v>214</v>
      </c>
    </row>
    <row r="36" spans="1:10" ht="28" x14ac:dyDescent="0.35">
      <c r="A36" s="69">
        <v>30</v>
      </c>
      <c r="B36" s="70" t="s">
        <v>301</v>
      </c>
      <c r="C36" s="69" t="s">
        <v>302</v>
      </c>
      <c r="D36" s="69" t="s">
        <v>303</v>
      </c>
      <c r="E36" s="69">
        <v>2019</v>
      </c>
      <c r="F36" s="195">
        <v>2982</v>
      </c>
      <c r="G36" s="205">
        <v>2695</v>
      </c>
      <c r="H36" s="196">
        <v>1801.36</v>
      </c>
      <c r="I36" s="197">
        <f>G36-H36</f>
        <v>893.6400000000001</v>
      </c>
      <c r="J36" s="197">
        <v>894</v>
      </c>
    </row>
    <row r="37" spans="1:10" ht="42" x14ac:dyDescent="0.35">
      <c r="A37" s="69">
        <v>31</v>
      </c>
      <c r="B37" s="70" t="s">
        <v>304</v>
      </c>
      <c r="C37" s="69" t="s">
        <v>305</v>
      </c>
      <c r="D37" s="69" t="s">
        <v>306</v>
      </c>
      <c r="E37" s="69">
        <v>2018</v>
      </c>
      <c r="F37" s="196">
        <v>232</v>
      </c>
      <c r="G37" s="205">
        <v>140.82863599999999</v>
      </c>
      <c r="H37" s="196">
        <v>112.6</v>
      </c>
      <c r="I37" s="197">
        <f>G37-H37</f>
        <v>28.228635999999995</v>
      </c>
      <c r="J37" s="197">
        <v>28</v>
      </c>
    </row>
    <row r="38" spans="1:10" ht="42" x14ac:dyDescent="0.35">
      <c r="A38" s="69">
        <v>32</v>
      </c>
      <c r="B38" s="217" t="s">
        <v>307</v>
      </c>
      <c r="C38" s="69" t="s">
        <v>308</v>
      </c>
      <c r="D38" s="69" t="s">
        <v>309</v>
      </c>
      <c r="E38" s="69">
        <v>2019</v>
      </c>
      <c r="F38" s="196">
        <v>787</v>
      </c>
      <c r="G38" s="205">
        <v>733</v>
      </c>
      <c r="H38" s="196">
        <v>633.88</v>
      </c>
      <c r="I38" s="197">
        <f>G38-H38</f>
        <v>99.12</v>
      </c>
      <c r="J38" s="197">
        <v>99</v>
      </c>
    </row>
    <row r="39" spans="1:10" s="73" customFormat="1" ht="28" x14ac:dyDescent="0.35">
      <c r="A39" s="218">
        <v>33</v>
      </c>
      <c r="B39" s="219" t="s">
        <v>310</v>
      </c>
      <c r="C39" s="218" t="s">
        <v>311</v>
      </c>
      <c r="D39" s="218" t="s">
        <v>312</v>
      </c>
      <c r="E39" s="218">
        <v>2020</v>
      </c>
      <c r="F39" s="220">
        <v>1800</v>
      </c>
      <c r="G39" s="221">
        <v>1377</v>
      </c>
      <c r="H39" s="222">
        <v>1368.9</v>
      </c>
      <c r="I39" s="223">
        <f>G39-H39</f>
        <v>8.0999999999999091</v>
      </c>
      <c r="J39" s="224">
        <v>8</v>
      </c>
    </row>
  </sheetData>
  <mergeCells count="1">
    <mergeCell ref="A1:J1"/>
  </mergeCells>
  <pageMargins left="0.52" right="0.22" top="0.6" bottom="0.2" header="0.2" footer="0.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SGV</vt:lpstr>
      <vt:lpstr>Bản kèm QĐ</vt:lpstr>
      <vt:lpstr>THỰC HIỆN-KH 2024</vt:lpstr>
      <vt:lpstr>CÔNG KHAI -BGD</vt:lpstr>
      <vt:lpstr>Sheet1</vt:lpstr>
      <vt:lpstr>TỔNG_ KH 2024 điều chỉnh</vt:lpstr>
      <vt:lpstr>Tong KH 2024 </vt:lpstr>
      <vt:lpstr>Lương 2024</vt:lpstr>
      <vt:lpstr>Lương 2024 (đc)</vt:lpstr>
      <vt:lpstr>PHẦN MỀM</vt:lpstr>
      <vt:lpstr>DỰ ÁN ĐANG TRIỂN KHAI</vt:lpstr>
      <vt:lpstr>OK - M4.1 ĐT</vt:lpstr>
      <vt:lpstr>DỰ ÁN MỚI</vt:lpstr>
      <vt:lpstr>MUA SẮM</vt:lpstr>
      <vt:lpstr>DỰ ÁN ĐÃ HOÀN THÀNH</vt:lpstr>
      <vt:lpstr>Sheet2</vt:lpstr>
      <vt:lpstr>'TỔNG_ KH 2024 điều chỉnh'!Print_Area</vt:lpstr>
      <vt:lpstr>'Bản kèm QĐ'!Print_Titles</vt:lpstr>
      <vt:lpstr>'CÔNG KHAI -BGD'!Print_Titles</vt:lpstr>
      <vt:lpstr>'DỰ ÁN ĐÃ HOÀN THÀNH'!Print_Titles</vt:lpstr>
      <vt:lpstr>'DỰ ÁN ĐANG TRIỂN KHAI'!Print_Titles</vt:lpstr>
      <vt:lpstr>'Lương 2024'!Print_Titles</vt:lpstr>
      <vt:lpstr>'Lương 2024 (đc)'!Print_Titles</vt:lpstr>
      <vt:lpstr>'THỰC HIỆN-KH 2024'!Print_Titles</vt:lpstr>
      <vt:lpstr>'Tong KH 2024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Dam Phuong</cp:lastModifiedBy>
  <cp:lastPrinted>2026-02-03T07:09:22Z</cp:lastPrinted>
  <dcterms:created xsi:type="dcterms:W3CDTF">2024-03-04T09:09:27Z</dcterms:created>
  <dcterms:modified xsi:type="dcterms:W3CDTF">2026-03-26T05:50:55Z</dcterms:modified>
</cp:coreProperties>
</file>